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4.xml" ContentType="application/vnd.openxmlformats-officedocument.spreadsheetml.comments+xml"/>
  <Override PartName="/xl/drawings/drawing24.xml" ContentType="application/vnd.openxmlformats-officedocument.drawing+xml"/>
  <Override PartName="/xl/comments5.xml" ContentType="application/vnd.openxmlformats-officedocument.spreadsheetml.comments+xml"/>
  <Override PartName="/xl/drawings/drawing25.xml" ContentType="application/vnd.openxmlformats-officedocument.drawing+xml"/>
  <Override PartName="/xl/comments6.xml" ContentType="application/vnd.openxmlformats-officedocument.spreadsheetml.comments+xml"/>
  <Override PartName="/xl/drawings/drawing26.xml" ContentType="application/vnd.openxmlformats-officedocument.drawing+xml"/>
  <Override PartName="/xl/comments7.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omments8.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2000" windowHeight="5235" tabRatio="774" activeTab="2"/>
  </bookViews>
  <sheets>
    <sheet name="coper (2)" sheetId="166" r:id="rId1"/>
    <sheet name="Chart1" sheetId="63" r:id="rId2"/>
    <sheet name="coper" sheetId="75" r:id="rId3"/>
    <sheet name="LampA" sheetId="12" r:id="rId4"/>
    <sheet name="RECAP APBD" sheetId="1" r:id="rId5"/>
    <sheet name="rutin BTL" sheetId="5" r:id="rId6"/>
    <sheet name="RECAP KEGIATAN BL" sheetId="7" r:id="rId7"/>
    <sheet name="KOM, SDM7LISTRIK" sheetId="19" r:id="rId8"/>
    <sheet name="JS KBR KTR" sheetId="24" r:id="rId9"/>
    <sheet name="Atk" sheetId="22" r:id="rId10"/>
    <sheet name="CETAK &amp; PENGGANDAAN" sheetId="21" r:id="rId11"/>
    <sheet name="Inslsi Lstrik Ktr" sheetId="17" r:id="rId12"/>
    <sheet name="Mkan Mnum" sheetId="27" r:id="rId13"/>
    <sheet name="RAPAT LUAR DAERAH" sheetId="29" r:id="rId14"/>
    <sheet name="Honor NON PNS" sheetId="51" r:id="rId15"/>
    <sheet name="Pengadaan peraltan " sheetId="157" r:id="rId16"/>
    <sheet name="PEMEL KEND DINAS" sheetId="30" r:id="rId17"/>
    <sheet name="PEMEL PRLTN GDG KTR" sheetId="23" r:id="rId18"/>
    <sheet name="BAJU PDH" sheetId="91" r:id="rId19"/>
    <sheet name="STATISTIK SURVEY SEKTORAL" sheetId="164" r:id="rId20"/>
    <sheet name="STATISTIK FORUM 1 DATA" sheetId="159" r:id="rId21"/>
    <sheet name="SMART WARNET" sheetId="155" r:id="rId22"/>
    <sheet name="SMART UU40&amp;BINTEK" sheetId="165" r:id="rId23"/>
    <sheet name="E-GOV INFRASTUKTUR" sheetId="162" r:id="rId24"/>
    <sheet name="E-GOV APLIKASI" sheetId="156" r:id="rId25"/>
    <sheet name="PIP SWARGA" sheetId="163" r:id="rId26"/>
    <sheet name="SMART PELTIHAN PERS" sheetId="161" r:id="rId27"/>
    <sheet name="PPID DAN PROPAGANDA" sheetId="129" r:id="rId28"/>
    <sheet name="DESIMINASI INFORMASI" sheetId="131" r:id="rId29"/>
    <sheet name="LOMBA KIG" sheetId="144" r:id="rId30"/>
    <sheet name="Sheet1" sheetId="134" r:id="rId31"/>
    <sheet name="Compatibility Report" sheetId="79" r:id="rId32"/>
  </sheets>
  <externalReferences>
    <externalReference r:id="rId33"/>
  </externalReferences>
  <definedNames>
    <definedName name="_xlnm.Print_Area" localSheetId="9">Atk!$B$2:$P$100</definedName>
    <definedName name="_xlnm.Print_Area" localSheetId="18">'BAJU PDH'!$B$2:$P$66</definedName>
    <definedName name="_xlnm.Print_Area" localSheetId="10">'CETAK &amp; PENGGANDAAN'!$B$2:$P$79</definedName>
    <definedName name="_xlnm.Print_Area" localSheetId="2">coper!$B$4:$P$74</definedName>
    <definedName name="_xlnm.Print_Area" localSheetId="0">'coper (2)'!$B$4:$P$74</definedName>
    <definedName name="_xlnm.Print_Area" localSheetId="28">'DESIMINASI INFORMASI'!$B$2:$P$101</definedName>
    <definedName name="_xlnm.Print_Area" localSheetId="24">'E-GOV APLIKASI'!$B$2:$P$169</definedName>
    <definedName name="_xlnm.Print_Area" localSheetId="23">'E-GOV INFRASTUKTUR'!$B$2:$P$154</definedName>
    <definedName name="_xlnm.Print_Area" localSheetId="14">'Honor NON PNS'!$B$2:$P$95</definedName>
    <definedName name="_xlnm.Print_Area" localSheetId="11">'Inslsi Lstrik Ktr'!$B$2:$P$70</definedName>
    <definedName name="_xlnm.Print_Area" localSheetId="8">'JS KBR KTR'!$B$2:$P$89</definedName>
    <definedName name="_xlnm.Print_Area" localSheetId="7">'KOM, SDM7LISTRIK'!$B$2:$P$69</definedName>
    <definedName name="_xlnm.Print_Area" localSheetId="3">LampA!$B$1:$I$46</definedName>
    <definedName name="_xlnm.Print_Area" localSheetId="29">'LOMBA KIG'!$B$2:$P$137</definedName>
    <definedName name="_xlnm.Print_Area" localSheetId="12">'Mkan Mnum'!$B$2:$P$63</definedName>
    <definedName name="_xlnm.Print_Area" localSheetId="16">'PEMEL KEND DINAS'!$B$2:$P$85</definedName>
    <definedName name="_xlnm.Print_Area" localSheetId="17">'PEMEL PRLTN GDG KTR'!$B$2:$P$74</definedName>
    <definedName name="_xlnm.Print_Area" localSheetId="15">'Pengadaan peraltan '!$B$2:$P$72</definedName>
    <definedName name="_xlnm.Print_Area" localSheetId="25">'PIP SWARGA'!$B$2:$P$115</definedName>
    <definedName name="_xlnm.Print_Area" localSheetId="27">'PPID DAN PROPAGANDA'!$B$2:$P$119</definedName>
    <definedName name="_xlnm.Print_Area" localSheetId="13">'RAPAT LUAR DAERAH'!$B$2:$P$65</definedName>
    <definedName name="_xlnm.Print_Area" localSheetId="4">'RECAP APBD'!$B$2:$F$50</definedName>
    <definedName name="_xlnm.Print_Area" localSheetId="6">'RECAP KEGIATAN BL'!$B$2:$R$58</definedName>
    <definedName name="_xlnm.Print_Area" localSheetId="5">'rutin BTL'!$A$1:$Q$63</definedName>
    <definedName name="_xlnm.Print_Area" localSheetId="30">Sheet1!$C$2:$E$27</definedName>
    <definedName name="_xlnm.Print_Area" localSheetId="26">'SMART PELTIHAN PERS'!$B$2:$P$96</definedName>
    <definedName name="_xlnm.Print_Area" localSheetId="22">'SMART UU40&amp;BINTEK'!$B$2:$P$125</definedName>
    <definedName name="_xlnm.Print_Area" localSheetId="21">'SMART WARNET'!$B$2:$P$89</definedName>
    <definedName name="_xlnm.Print_Area" localSheetId="20">'STATISTIK FORUM 1 DATA'!$B$2:$P$87</definedName>
    <definedName name="_xlnm.Print_Area" localSheetId="19">'STATISTIK SURVEY SEKTORAL'!$B$2:$P$90</definedName>
    <definedName name="_xlnm.Print_Titles" localSheetId="6">'RECAP KEGIATAN BL'!$D:$R,'RECAP KEGIATAN BL'!$9:$13</definedName>
    <definedName name="_xlnm.Print_Titles" localSheetId="5">'rutin BTL'!$13:$13</definedName>
  </definedNames>
  <calcPr calcId="145621"/>
</workbook>
</file>

<file path=xl/calcChain.xml><?xml version="1.0" encoding="utf-8"?>
<calcChain xmlns="http://schemas.openxmlformats.org/spreadsheetml/2006/main">
  <c r="N43" i="7" l="1"/>
  <c r="P45" i="131" l="1"/>
  <c r="P44" i="131"/>
  <c r="P43" i="131"/>
  <c r="P42" i="131"/>
  <c r="P41" i="131"/>
  <c r="P40" i="131"/>
  <c r="P39" i="131" l="1"/>
  <c r="P80" i="131"/>
  <c r="P79" i="131" s="1"/>
  <c r="P91" i="131"/>
  <c r="P90" i="131"/>
  <c r="P89" i="131"/>
  <c r="P88" i="131"/>
  <c r="P87" i="131"/>
  <c r="P85" i="131"/>
  <c r="P84" i="131" s="1"/>
  <c r="P81" i="131"/>
  <c r="M95" i="131"/>
  <c r="M96" i="131"/>
  <c r="M97" i="131"/>
  <c r="P66" i="131"/>
  <c r="P65" i="131" s="1"/>
  <c r="P86" i="131" l="1"/>
  <c r="P83" i="131"/>
  <c r="P78" i="131" s="1"/>
  <c r="P36" i="21"/>
  <c r="P35" i="22"/>
  <c r="P19" i="5"/>
  <c r="P52" i="144"/>
  <c r="P55" i="129"/>
  <c r="P46" i="129"/>
  <c r="M123" i="156"/>
  <c r="M122" i="156"/>
  <c r="P73" i="156"/>
  <c r="M98" i="165"/>
  <c r="M96" i="165"/>
  <c r="M95" i="165"/>
  <c r="M93" i="165"/>
  <c r="M92" i="165"/>
  <c r="M90" i="165"/>
  <c r="M89" i="165"/>
  <c r="P80" i="165" l="1"/>
  <c r="P85" i="165"/>
  <c r="P84" i="165" s="1"/>
  <c r="P138" i="162" l="1"/>
  <c r="P137" i="162"/>
  <c r="P136" i="162"/>
  <c r="P135" i="162"/>
  <c r="P133" i="162"/>
  <c r="P132" i="162"/>
  <c r="P131" i="162"/>
  <c r="P130" i="162"/>
  <c r="P129" i="162" s="1"/>
  <c r="P134" i="162" l="1"/>
  <c r="P128" i="162" s="1"/>
  <c r="P127" i="162" s="1"/>
  <c r="P85" i="156"/>
  <c r="P144" i="156" l="1"/>
  <c r="P143" i="156"/>
  <c r="P142" i="156"/>
  <c r="P140" i="156"/>
  <c r="P139" i="156"/>
  <c r="P137" i="156"/>
  <c r="P136" i="156"/>
  <c r="P134" i="156"/>
  <c r="P133" i="156"/>
  <c r="P132" i="156"/>
  <c r="P131" i="156" s="1"/>
  <c r="P130" i="156"/>
  <c r="P129" i="156"/>
  <c r="P127" i="156"/>
  <c r="P126" i="156"/>
  <c r="P125" i="156"/>
  <c r="P123" i="156"/>
  <c r="P122" i="156"/>
  <c r="P120" i="156"/>
  <c r="P119" i="156"/>
  <c r="P106" i="156"/>
  <c r="P105" i="156" s="1"/>
  <c r="P104" i="156"/>
  <c r="P103" i="156" s="1"/>
  <c r="P102" i="156"/>
  <c r="P101" i="156" s="1"/>
  <c r="P100" i="156"/>
  <c r="P99" i="156"/>
  <c r="P98" i="156" s="1"/>
  <c r="P97" i="156"/>
  <c r="P96" i="156"/>
  <c r="P95" i="156" s="1"/>
  <c r="P94" i="156"/>
  <c r="P93" i="156"/>
  <c r="P92" i="156" s="1"/>
  <c r="M91" i="156"/>
  <c r="P91" i="156" s="1"/>
  <c r="M90" i="156"/>
  <c r="P90" i="156" s="1"/>
  <c r="P89" i="156" s="1"/>
  <c r="P80" i="156"/>
  <c r="M60" i="156"/>
  <c r="P60" i="156" s="1"/>
  <c r="M59" i="156"/>
  <c r="P59" i="156" s="1"/>
  <c r="M58" i="156"/>
  <c r="P58" i="156" s="1"/>
  <c r="M57" i="156"/>
  <c r="P57" i="156" s="1"/>
  <c r="M56" i="156"/>
  <c r="P56" i="156" s="1"/>
  <c r="M55" i="156"/>
  <c r="P55" i="156" s="1"/>
  <c r="M54" i="156"/>
  <c r="P54" i="156" s="1"/>
  <c r="P53" i="156" s="1"/>
  <c r="P52" i="156"/>
  <c r="M52" i="156"/>
  <c r="M51" i="156"/>
  <c r="P51" i="156" s="1"/>
  <c r="P50" i="156"/>
  <c r="P48" i="156" s="1"/>
  <c r="M50" i="156"/>
  <c r="M49" i="156"/>
  <c r="P49" i="156" s="1"/>
  <c r="M47" i="156"/>
  <c r="P47" i="156" s="1"/>
  <c r="M46" i="156"/>
  <c r="P46" i="156" s="1"/>
  <c r="M45" i="156"/>
  <c r="P45" i="156" s="1"/>
  <c r="M44" i="156"/>
  <c r="P44" i="156" s="1"/>
  <c r="M43" i="156"/>
  <c r="P43" i="156" s="1"/>
  <c r="M42" i="156"/>
  <c r="P42" i="156" s="1"/>
  <c r="M41" i="156"/>
  <c r="P41" i="156" s="1"/>
  <c r="M40" i="156"/>
  <c r="P40" i="156" s="1"/>
  <c r="P124" i="156" l="1"/>
  <c r="P128" i="156"/>
  <c r="P88" i="156"/>
  <c r="P39" i="156"/>
  <c r="P121" i="156"/>
  <c r="P118" i="156"/>
  <c r="P135" i="156"/>
  <c r="P141" i="156"/>
  <c r="P138" i="156"/>
  <c r="P124" i="162"/>
  <c r="P123" i="162"/>
  <c r="P122" i="162"/>
  <c r="P121" i="162"/>
  <c r="P120" i="162"/>
  <c r="P76" i="156"/>
  <c r="P84" i="156"/>
  <c r="P83" i="156"/>
  <c r="P82" i="156"/>
  <c r="P81" i="156"/>
  <c r="P79" i="156"/>
  <c r="P78" i="156"/>
  <c r="P77" i="156"/>
  <c r="P75" i="156"/>
  <c r="P74" i="156"/>
  <c r="P117" i="156" l="1"/>
  <c r="P69" i="156"/>
  <c r="P68" i="156"/>
  <c r="P67" i="156"/>
  <c r="P66" i="156"/>
  <c r="P108" i="144" l="1"/>
  <c r="P112" i="144"/>
  <c r="O58" i="144"/>
  <c r="P89" i="129" l="1"/>
  <c r="P88" i="129" s="1"/>
  <c r="P87" i="129" s="1"/>
  <c r="P62" i="129"/>
  <c r="P59" i="129"/>
  <c r="P52" i="129"/>
  <c r="M72" i="159" l="1"/>
  <c r="P61" i="159"/>
  <c r="M48" i="159"/>
  <c r="M44" i="159"/>
  <c r="P74" i="165" l="1"/>
  <c r="P73" i="165" l="1"/>
  <c r="P72" i="165" s="1"/>
  <c r="P114" i="156" l="1"/>
  <c r="P113" i="156" s="1"/>
  <c r="P31" i="164" l="1"/>
  <c r="P52" i="164"/>
  <c r="M76" i="164"/>
  <c r="M77" i="164"/>
  <c r="P72" i="164"/>
  <c r="P69" i="164" s="1"/>
  <c r="M71" i="164"/>
  <c r="P71" i="164" s="1"/>
  <c r="M70" i="164"/>
  <c r="P70" i="164" s="1"/>
  <c r="P67" i="164"/>
  <c r="P66" i="164" s="1"/>
  <c r="P63" i="164"/>
  <c r="P62" i="164"/>
  <c r="P61" i="164"/>
  <c r="P60" i="164"/>
  <c r="P59" i="164"/>
  <c r="P58" i="164"/>
  <c r="P57" i="164"/>
  <c r="P56" i="164"/>
  <c r="P55" i="164"/>
  <c r="P54" i="164" l="1"/>
  <c r="M43" i="164" l="1"/>
  <c r="P125" i="162" l="1"/>
  <c r="P119" i="162" l="1"/>
  <c r="P118" i="162" s="1"/>
  <c r="M65" i="156" l="1"/>
  <c r="M64" i="156"/>
  <c r="M63" i="51" l="1"/>
  <c r="M84" i="22" l="1"/>
  <c r="M63" i="21"/>
  <c r="M54" i="17"/>
  <c r="M47" i="27"/>
  <c r="M49" i="29"/>
  <c r="M79" i="51"/>
  <c r="M56" i="157"/>
  <c r="M87" i="164"/>
  <c r="M109" i="165"/>
  <c r="M82" i="159"/>
  <c r="M73" i="155"/>
  <c r="M148" i="162"/>
  <c r="M154" i="156"/>
  <c r="M99" i="163"/>
  <c r="M80" i="161"/>
  <c r="P63" i="131"/>
  <c r="P62" i="131" s="1"/>
  <c r="P93" i="129"/>
  <c r="P92" i="129" s="1"/>
  <c r="P91" i="129" l="1"/>
  <c r="P111" i="156"/>
  <c r="P110" i="156"/>
  <c r="P109" i="156" l="1"/>
  <c r="P108" i="156" s="1"/>
  <c r="M46" i="51"/>
  <c r="M44" i="51"/>
  <c r="P49" i="51"/>
  <c r="P48" i="51"/>
  <c r="P47" i="51"/>
  <c r="P46" i="51"/>
  <c r="P45" i="51"/>
  <c r="P44" i="51"/>
  <c r="P43" i="51"/>
  <c r="P42" i="51"/>
  <c r="P116" i="156" l="1"/>
  <c r="P41" i="51"/>
  <c r="P37" i="27" l="1"/>
  <c r="V130" i="162" l="1"/>
  <c r="V129" i="162"/>
  <c r="P114" i="162" l="1"/>
  <c r="P113" i="162" s="1"/>
  <c r="P112" i="162" s="1"/>
  <c r="P110" i="162"/>
  <c r="P106" i="162"/>
  <c r="P105" i="162"/>
  <c r="P104" i="162"/>
  <c r="P103" i="162"/>
  <c r="P99" i="162"/>
  <c r="P98" i="162" s="1"/>
  <c r="P97" i="162" s="1"/>
  <c r="M95" i="162"/>
  <c r="P95" i="162" s="1"/>
  <c r="M94" i="162"/>
  <c r="P94" i="162" s="1"/>
  <c r="M90" i="162"/>
  <c r="P90" i="162" s="1"/>
  <c r="P87" i="162"/>
  <c r="P86" i="162"/>
  <c r="P85" i="162"/>
  <c r="P84" i="162"/>
  <c r="P83" i="162"/>
  <c r="P82" i="162"/>
  <c r="P81" i="162"/>
  <c r="P78" i="162"/>
  <c r="P77" i="162"/>
  <c r="P76" i="162"/>
  <c r="P72" i="162"/>
  <c r="P71" i="162"/>
  <c r="P70" i="162"/>
  <c r="P65" i="162"/>
  <c r="P64" i="162"/>
  <c r="P63" i="162"/>
  <c r="P62" i="162"/>
  <c r="M58" i="162"/>
  <c r="P58" i="162" s="1"/>
  <c r="M57" i="162"/>
  <c r="P57" i="162" s="1"/>
  <c r="M56" i="162"/>
  <c r="P56" i="162" s="1"/>
  <c r="M55" i="162"/>
  <c r="P55" i="162" s="1"/>
  <c r="M54" i="162"/>
  <c r="P54" i="162" s="1"/>
  <c r="P53" i="162"/>
  <c r="M52" i="162"/>
  <c r="P52" i="162" s="1"/>
  <c r="M49" i="162"/>
  <c r="P49" i="162" s="1"/>
  <c r="M48" i="162"/>
  <c r="P48" i="162" s="1"/>
  <c r="M47" i="162"/>
  <c r="P47" i="162" s="1"/>
  <c r="M46" i="162"/>
  <c r="P46" i="162" s="1"/>
  <c r="M45" i="162"/>
  <c r="P45" i="162" s="1"/>
  <c r="P44" i="162"/>
  <c r="M43" i="162"/>
  <c r="P43" i="162" s="1"/>
  <c r="P39" i="162"/>
  <c r="P38" i="162" s="1"/>
  <c r="P102" i="162" l="1"/>
  <c r="P101" i="162" s="1"/>
  <c r="P117" i="162"/>
  <c r="P69" i="162"/>
  <c r="P68" i="162" s="1"/>
  <c r="P51" i="162"/>
  <c r="P75" i="162"/>
  <c r="P109" i="162"/>
  <c r="P108" i="162" s="1"/>
  <c r="P61" i="162"/>
  <c r="P60" i="162" s="1"/>
  <c r="P93" i="162"/>
  <c r="P92" i="162" s="1"/>
  <c r="P42" i="162"/>
  <c r="P80" i="162"/>
  <c r="P89" i="162"/>
  <c r="P41" i="162" l="1"/>
  <c r="P37" i="162" s="1"/>
  <c r="P36" i="162" s="1"/>
  <c r="P116" i="162"/>
  <c r="N35" i="7"/>
  <c r="P74" i="162"/>
  <c r="P67" i="162" s="1"/>
  <c r="M35" i="7" s="1"/>
  <c r="P33" i="162" l="1"/>
  <c r="P31" i="162" s="1"/>
  <c r="P29" i="162" s="1"/>
  <c r="P140" i="162" s="1"/>
  <c r="M47" i="159" l="1"/>
  <c r="M46" i="159"/>
  <c r="M43" i="159"/>
  <c r="M42" i="159"/>
  <c r="M41" i="159"/>
  <c r="M40" i="159"/>
  <c r="M53" i="51" l="1"/>
  <c r="M36" i="27" l="1"/>
  <c r="M54" i="51"/>
  <c r="P39" i="91" l="1"/>
  <c r="P98" i="165" l="1"/>
  <c r="P97" i="165" s="1"/>
  <c r="P96" i="165"/>
  <c r="P95" i="165"/>
  <c r="P94" i="165" s="1"/>
  <c r="P93" i="165"/>
  <c r="P92" i="165"/>
  <c r="P90" i="165"/>
  <c r="P89" i="165"/>
  <c r="P83" i="165"/>
  <c r="P82" i="165"/>
  <c r="M78" i="165"/>
  <c r="P78" i="165" s="1"/>
  <c r="P77" i="165"/>
  <c r="P76" i="165"/>
  <c r="P69" i="165"/>
  <c r="P68" i="165"/>
  <c r="P67" i="165"/>
  <c r="P66" i="165"/>
  <c r="P65" i="165"/>
  <c r="P64" i="165"/>
  <c r="P59" i="165"/>
  <c r="M59" i="165"/>
  <c r="P58" i="165"/>
  <c r="P57" i="165"/>
  <c r="P56" i="165"/>
  <c r="P55" i="165"/>
  <c r="M51" i="165"/>
  <c r="P51" i="165" s="1"/>
  <c r="M50" i="165"/>
  <c r="P50" i="165" s="1"/>
  <c r="P49" i="165"/>
  <c r="P48" i="165"/>
  <c r="P47" i="165"/>
  <c r="M46" i="165"/>
  <c r="P46" i="165" s="1"/>
  <c r="M45" i="165"/>
  <c r="P45" i="165" s="1"/>
  <c r="M44" i="165"/>
  <c r="P44" i="165" s="1"/>
  <c r="P41" i="165"/>
  <c r="P40" i="165"/>
  <c r="P39" i="165"/>
  <c r="P36" i="165"/>
  <c r="P35" i="165" s="1"/>
  <c r="P88" i="165" l="1"/>
  <c r="P81" i="165"/>
  <c r="P63" i="165"/>
  <c r="P62" i="165" s="1"/>
  <c r="P91" i="165"/>
  <c r="P38" i="165"/>
  <c r="P34" i="165" s="1"/>
  <c r="P54" i="165"/>
  <c r="P53" i="165" s="1"/>
  <c r="P75" i="165"/>
  <c r="P71" i="165" s="1"/>
  <c r="P43" i="157"/>
  <c r="P42" i="157" s="1"/>
  <c r="P39" i="23"/>
  <c r="P87" i="165" l="1"/>
  <c r="P61" i="165" s="1"/>
  <c r="M34" i="7" s="1"/>
  <c r="P33" i="165"/>
  <c r="L34" i="7" s="1"/>
  <c r="M40" i="164"/>
  <c r="M41" i="164"/>
  <c r="M42" i="164"/>
  <c r="P31" i="165" l="1"/>
  <c r="P30" i="165" s="1"/>
  <c r="P29" i="165" s="1"/>
  <c r="P105" i="144"/>
  <c r="O104" i="144"/>
  <c r="P104" i="144" s="1"/>
  <c r="M103" i="144"/>
  <c r="P103" i="144" s="1"/>
  <c r="P102" i="144"/>
  <c r="P101" i="144"/>
  <c r="P100" i="144"/>
  <c r="P79" i="144"/>
  <c r="P78" i="144"/>
  <c r="M48" i="144"/>
  <c r="P48" i="144" s="1"/>
  <c r="M47" i="144"/>
  <c r="P47" i="144" s="1"/>
  <c r="P46" i="144"/>
  <c r="P45" i="144"/>
  <c r="P44" i="144"/>
  <c r="P43" i="144"/>
  <c r="M42" i="144"/>
  <c r="P42" i="144" s="1"/>
  <c r="M41" i="144"/>
  <c r="P41" i="144" s="1"/>
  <c r="M40" i="144"/>
  <c r="P40" i="144" s="1"/>
  <c r="M85" i="129"/>
  <c r="P85" i="129" s="1"/>
  <c r="P84" i="129"/>
  <c r="P83" i="129"/>
  <c r="P101" i="165" l="1"/>
  <c r="R101" i="165" s="1"/>
  <c r="P82" i="129"/>
  <c r="L12" i="165"/>
  <c r="O17" i="165"/>
  <c r="P71" i="131" l="1"/>
  <c r="O57" i="131"/>
  <c r="P57" i="131" s="1"/>
  <c r="P111" i="144"/>
  <c r="P110" i="144"/>
  <c r="P109" i="144"/>
  <c r="P99" i="144"/>
  <c r="P98" i="144" s="1"/>
  <c r="P96" i="144"/>
  <c r="P94" i="144" s="1"/>
  <c r="P95" i="144"/>
  <c r="P92" i="144"/>
  <c r="P91" i="144"/>
  <c r="P90" i="144"/>
  <c r="M89" i="144"/>
  <c r="P89" i="144" s="1"/>
  <c r="P85" i="144"/>
  <c r="M84" i="144"/>
  <c r="P84" i="144" s="1"/>
  <c r="M83" i="144"/>
  <c r="P83" i="144" s="1"/>
  <c r="M82" i="144"/>
  <c r="P82" i="144" s="1"/>
  <c r="P77" i="144"/>
  <c r="P74" i="144"/>
  <c r="P73" i="144"/>
  <c r="P72" i="144"/>
  <c r="P71" i="144"/>
  <c r="P68" i="144"/>
  <c r="P67" i="144"/>
  <c r="P66" i="144"/>
  <c r="P65" i="144"/>
  <c r="P64" i="144"/>
  <c r="P63" i="144"/>
  <c r="P62" i="144"/>
  <c r="P61" i="144"/>
  <c r="P60" i="144"/>
  <c r="P59" i="144"/>
  <c r="P58" i="144"/>
  <c r="P57" i="144"/>
  <c r="P56" i="144"/>
  <c r="P55" i="144"/>
  <c r="P54" i="144"/>
  <c r="P53" i="144"/>
  <c r="P36" i="144"/>
  <c r="P35" i="144" s="1"/>
  <c r="P34" i="144" s="1"/>
  <c r="M116" i="144"/>
  <c r="M117" i="144"/>
  <c r="M118" i="144"/>
  <c r="M121" i="144"/>
  <c r="M122" i="144"/>
  <c r="P76" i="131"/>
  <c r="P75" i="131"/>
  <c r="P59" i="131"/>
  <c r="P58" i="131"/>
  <c r="P56" i="131"/>
  <c r="P55" i="131"/>
  <c r="P54" i="131" l="1"/>
  <c r="P53" i="131" s="1"/>
  <c r="P81" i="144"/>
  <c r="P88" i="144"/>
  <c r="P87" i="144" s="1"/>
  <c r="P107" i="144"/>
  <c r="P70" i="144"/>
  <c r="P76" i="144"/>
  <c r="P74" i="131"/>
  <c r="P39" i="144"/>
  <c r="P38" i="144" s="1"/>
  <c r="P51" i="144" l="1"/>
  <c r="P50" i="144" s="1"/>
  <c r="M44" i="7" s="1"/>
  <c r="P33" i="144"/>
  <c r="P77" i="164"/>
  <c r="P76" i="164"/>
  <c r="P65" i="164"/>
  <c r="P50" i="164"/>
  <c r="P49" i="164"/>
  <c r="P48" i="164"/>
  <c r="P47" i="164"/>
  <c r="P43" i="164"/>
  <c r="P42" i="164"/>
  <c r="P41" i="164"/>
  <c r="P40" i="164"/>
  <c r="P36" i="164"/>
  <c r="P35" i="164" s="1"/>
  <c r="M81" i="164"/>
  <c r="M82" i="164"/>
  <c r="M83" i="164"/>
  <c r="P46" i="164" l="1"/>
  <c r="P75" i="164"/>
  <c r="P74" i="164" s="1"/>
  <c r="P39" i="164"/>
  <c r="P38" i="164" s="1"/>
  <c r="P34" i="164" s="1"/>
  <c r="P31" i="144"/>
  <c r="P30" i="144" s="1"/>
  <c r="P29" i="144" s="1"/>
  <c r="L44" i="7"/>
  <c r="P53" i="164"/>
  <c r="P45" i="164"/>
  <c r="M30" i="7" l="1"/>
  <c r="P33" i="164"/>
  <c r="L30" i="7" s="1"/>
  <c r="P30" i="164" l="1"/>
  <c r="P29" i="164" s="1"/>
  <c r="P79" i="164" s="1"/>
  <c r="Q29" i="164"/>
  <c r="B5" i="164"/>
  <c r="T39" i="157" l="1"/>
  <c r="M93" i="163" l="1"/>
  <c r="B5" i="163"/>
  <c r="P37" i="157"/>
  <c r="L12" i="164" l="1"/>
  <c r="L13" i="164" s="1"/>
  <c r="O17" i="164"/>
  <c r="Q30" i="164"/>
  <c r="M78" i="22"/>
  <c r="P47" i="23" l="1"/>
  <c r="P46" i="23"/>
  <c r="P45" i="23"/>
  <c r="P44" i="23"/>
  <c r="P43" i="23"/>
  <c r="P42" i="23"/>
  <c r="P41" i="23"/>
  <c r="P40" i="23"/>
  <c r="P38" i="23"/>
  <c r="P48" i="21"/>
  <c r="P47" i="21"/>
  <c r="P45" i="21"/>
  <c r="P43" i="21"/>
  <c r="P41" i="21"/>
  <c r="P39" i="21"/>
  <c r="P38" i="21"/>
  <c r="P52" i="21"/>
  <c r="P51" i="21" s="1"/>
  <c r="P73" i="22"/>
  <c r="P35" i="21" l="1"/>
  <c r="P37" i="23"/>
  <c r="P36" i="23" s="1"/>
  <c r="P71" i="22"/>
  <c r="P72" i="22"/>
  <c r="P36" i="22"/>
  <c r="P37" i="22"/>
  <c r="P38" i="22"/>
  <c r="P39" i="22"/>
  <c r="P40" i="22"/>
  <c r="P41" i="22"/>
  <c r="P42" i="22"/>
  <c r="P43" i="22"/>
  <c r="P44" i="22"/>
  <c r="P45" i="22"/>
  <c r="P46" i="22"/>
  <c r="P47" i="22"/>
  <c r="P48" i="22"/>
  <c r="P49" i="22"/>
  <c r="P50" i="22"/>
  <c r="P51" i="22"/>
  <c r="P52" i="22"/>
  <c r="P53" i="22"/>
  <c r="P54" i="22"/>
  <c r="P55" i="22"/>
  <c r="P56" i="22"/>
  <c r="P57" i="22"/>
  <c r="P58" i="22"/>
  <c r="P59" i="22"/>
  <c r="P35" i="23" l="1"/>
  <c r="P32" i="23"/>
  <c r="P62" i="159" l="1"/>
  <c r="P60" i="159"/>
  <c r="P48" i="159"/>
  <c r="P76" i="163"/>
  <c r="P75" i="163"/>
  <c r="P74" i="163"/>
  <c r="P71" i="163"/>
  <c r="P69" i="163"/>
  <c r="P67" i="163" s="1"/>
  <c r="P42" i="163"/>
  <c r="P73" i="163" l="1"/>
  <c r="P66" i="163" s="1"/>
  <c r="P73" i="129"/>
  <c r="P38" i="30" l="1"/>
  <c r="P37" i="30" s="1"/>
  <c r="P36" i="30" s="1"/>
  <c r="P45" i="157"/>
  <c r="P44" i="157" s="1"/>
  <c r="P40" i="51"/>
  <c r="P39" i="51" s="1"/>
  <c r="P38" i="51"/>
  <c r="P37" i="51" s="1"/>
  <c r="P36" i="51" s="1"/>
  <c r="P41" i="157" l="1"/>
  <c r="P35" i="30"/>
  <c r="L25" i="7" s="1"/>
  <c r="P51" i="129" l="1"/>
  <c r="P37" i="5" l="1"/>
  <c r="P36" i="5" s="1"/>
  <c r="P32" i="5" s="1"/>
  <c r="P20" i="5"/>
  <c r="P47" i="30"/>
  <c r="M46" i="30"/>
  <c r="P46" i="30" s="1"/>
  <c r="M45" i="30"/>
  <c r="P45" i="30" s="1"/>
  <c r="M44" i="30"/>
  <c r="P44" i="30" s="1"/>
  <c r="M43" i="30"/>
  <c r="P43" i="30" s="1"/>
  <c r="P42" i="30" l="1"/>
  <c r="P41" i="30" s="1"/>
  <c r="P58" i="24"/>
  <c r="P57" i="24"/>
  <c r="P56" i="24"/>
  <c r="P62" i="22"/>
  <c r="P61" i="22"/>
  <c r="P60" i="22"/>
  <c r="P39" i="17"/>
  <c r="M101" i="131" l="1"/>
  <c r="M100" i="131"/>
  <c r="M103" i="129"/>
  <c r="M102" i="129"/>
  <c r="M99" i="129"/>
  <c r="M98" i="129"/>
  <c r="M97" i="129"/>
  <c r="M76" i="161"/>
  <c r="M75" i="161"/>
  <c r="M74" i="161"/>
  <c r="M150" i="156"/>
  <c r="M149" i="156"/>
  <c r="M148" i="156"/>
  <c r="M69" i="155"/>
  <c r="M105" i="165" s="1"/>
  <c r="M144" i="162" s="1"/>
  <c r="M68" i="155"/>
  <c r="M104" i="165" s="1"/>
  <c r="M143" i="162" s="1"/>
  <c r="M67" i="155"/>
  <c r="M103" i="165" s="1"/>
  <c r="M142" i="162" s="1"/>
  <c r="M78" i="159"/>
  <c r="M77" i="159"/>
  <c r="M76" i="159"/>
  <c r="M46" i="91"/>
  <c r="M45" i="91"/>
  <c r="M44" i="91"/>
  <c r="M54" i="23"/>
  <c r="M53" i="23"/>
  <c r="M52" i="23"/>
  <c r="M65" i="30"/>
  <c r="M64" i="30"/>
  <c r="M63" i="30"/>
  <c r="M52" i="157"/>
  <c r="M51" i="157"/>
  <c r="M50" i="157"/>
  <c r="M78" i="51"/>
  <c r="M75" i="51"/>
  <c r="M74" i="51"/>
  <c r="M73" i="51"/>
  <c r="M48" i="29" l="1"/>
  <c r="M45" i="29"/>
  <c r="M44" i="29"/>
  <c r="M43" i="29"/>
  <c r="M46" i="27"/>
  <c r="M43" i="27"/>
  <c r="M42" i="27"/>
  <c r="M41" i="27"/>
  <c r="M53" i="17" l="1"/>
  <c r="M50" i="17"/>
  <c r="M49" i="17"/>
  <c r="M48" i="17"/>
  <c r="M48" i="5"/>
  <c r="M47" i="5"/>
  <c r="M44" i="5"/>
  <c r="M43" i="5"/>
  <c r="M42" i="5"/>
  <c r="P25" i="5"/>
  <c r="P26" i="5"/>
  <c r="P27" i="5"/>
  <c r="P28" i="5"/>
  <c r="P29" i="5"/>
  <c r="P30" i="5"/>
  <c r="P34" i="5"/>
  <c r="M59" i="21"/>
  <c r="M58" i="21"/>
  <c r="M57" i="21"/>
  <c r="M83" i="22"/>
  <c r="M79" i="22"/>
  <c r="M80" i="22"/>
  <c r="M73" i="24"/>
  <c r="M72" i="24"/>
  <c r="M69" i="24"/>
  <c r="M68" i="24"/>
  <c r="M67" i="24"/>
  <c r="M53" i="19"/>
  <c r="M52" i="19"/>
  <c r="M49" i="19"/>
  <c r="M48" i="19"/>
  <c r="M47" i="19"/>
  <c r="M56" i="7"/>
  <c r="M55" i="7"/>
  <c r="M51" i="7"/>
  <c r="M52" i="7"/>
  <c r="M50" i="7"/>
  <c r="N34" i="1"/>
  <c r="N35" i="1"/>
  <c r="F18" i="1"/>
  <c r="P42" i="17" l="1"/>
  <c r="P41" i="17"/>
  <c r="P40" i="17"/>
  <c r="P43" i="19" l="1"/>
  <c r="P42" i="19" s="1"/>
  <c r="P64" i="159" l="1"/>
  <c r="P46" i="159"/>
  <c r="P47" i="159"/>
  <c r="P45" i="159" l="1"/>
  <c r="P53" i="163" l="1"/>
  <c r="P52" i="163"/>
  <c r="P51" i="163"/>
  <c r="P50" i="163"/>
  <c r="P49" i="163"/>
  <c r="P46" i="163"/>
  <c r="P45" i="163"/>
  <c r="P44" i="163"/>
  <c r="P48" i="163" l="1"/>
  <c r="P51" i="30"/>
  <c r="P54" i="30" l="1"/>
  <c r="P58" i="30"/>
  <c r="P50" i="30" l="1"/>
  <c r="M43" i="155" l="1"/>
  <c r="M42" i="155"/>
  <c r="M41" i="155"/>
  <c r="M40" i="155"/>
  <c r="R90" i="163" l="1"/>
  <c r="S94" i="129" l="1"/>
  <c r="M98" i="163" l="1"/>
  <c r="M95" i="163"/>
  <c r="M94" i="163"/>
  <c r="P89" i="163"/>
  <c r="P81" i="163"/>
  <c r="P84" i="163"/>
  <c r="P80" i="163"/>
  <c r="P64" i="163"/>
  <c r="P63" i="163"/>
  <c r="P62" i="163"/>
  <c r="P61" i="163"/>
  <c r="P60" i="163"/>
  <c r="P59" i="163"/>
  <c r="P58" i="163"/>
  <c r="P43" i="163"/>
  <c r="P41" i="163"/>
  <c r="P40" i="163"/>
  <c r="P36" i="163"/>
  <c r="P35" i="163" s="1"/>
  <c r="P39" i="163" l="1"/>
  <c r="P38" i="163" s="1"/>
  <c r="P34" i="163" s="1"/>
  <c r="P33" i="163" s="1"/>
  <c r="P57" i="163"/>
  <c r="P56" i="163" s="1"/>
  <c r="P79" i="163"/>
  <c r="P83" i="163"/>
  <c r="P88" i="163"/>
  <c r="P87" i="163" s="1"/>
  <c r="P78" i="163" l="1"/>
  <c r="P86" i="163"/>
  <c r="L38" i="7"/>
  <c r="P55" i="163" l="1"/>
  <c r="M38" i="7" s="1"/>
  <c r="O38" i="7" s="1"/>
  <c r="O39" i="7" s="1"/>
  <c r="P31" i="163" l="1"/>
  <c r="P30" i="163" s="1"/>
  <c r="L11" i="163" s="1"/>
  <c r="P29" i="163" l="1"/>
  <c r="L12" i="163" s="1"/>
  <c r="P91" i="163" l="1"/>
  <c r="O17" i="163"/>
  <c r="B5" i="144"/>
  <c r="R81" i="144"/>
  <c r="S78" i="144"/>
  <c r="B5" i="131"/>
  <c r="P70" i="131"/>
  <c r="P69" i="131" s="1"/>
  <c r="P50" i="131"/>
  <c r="P49" i="131"/>
  <c r="P36" i="131"/>
  <c r="P35" i="131" s="1"/>
  <c r="P34" i="131" s="1"/>
  <c r="Q29" i="131"/>
  <c r="B5" i="129"/>
  <c r="S84" i="129"/>
  <c r="P79" i="129"/>
  <c r="P78" i="129" s="1"/>
  <c r="P77" i="129"/>
  <c r="P76" i="129" s="1"/>
  <c r="P72" i="129"/>
  <c r="P71" i="129"/>
  <c r="P70" i="129"/>
  <c r="M66" i="129"/>
  <c r="P66" i="129" s="1"/>
  <c r="P65" i="129"/>
  <c r="P64" i="129"/>
  <c r="P61" i="129"/>
  <c r="P60" i="129"/>
  <c r="P58" i="129"/>
  <c r="P57" i="129" s="1"/>
  <c r="P56" i="129" s="1"/>
  <c r="P53" i="129"/>
  <c r="P50" i="129"/>
  <c r="P49" i="129"/>
  <c r="P48" i="129"/>
  <c r="P47" i="129"/>
  <c r="P42" i="129"/>
  <c r="P41" i="129"/>
  <c r="P40" i="129"/>
  <c r="P39" i="129"/>
  <c r="P35" i="129"/>
  <c r="P34" i="129" s="1"/>
  <c r="P33" i="129" s="1"/>
  <c r="P69" i="129" l="1"/>
  <c r="P68" i="129" s="1"/>
  <c r="P73" i="131"/>
  <c r="P63" i="129"/>
  <c r="P75" i="129"/>
  <c r="P48" i="131"/>
  <c r="P47" i="131" s="1"/>
  <c r="P38" i="131" s="1"/>
  <c r="P45" i="129"/>
  <c r="P38" i="129"/>
  <c r="P37" i="129" s="1"/>
  <c r="P32" i="129" s="1"/>
  <c r="P81" i="129"/>
  <c r="P33" i="131" l="1"/>
  <c r="L42" i="7"/>
  <c r="P44" i="129"/>
  <c r="L43" i="7" l="1"/>
  <c r="M42" i="7"/>
  <c r="P31" i="129" l="1"/>
  <c r="P30" i="129" s="1"/>
  <c r="P29" i="129" s="1"/>
  <c r="L12" i="129" s="1"/>
  <c r="L13" i="129" s="1"/>
  <c r="P114" i="144"/>
  <c r="O17" i="144"/>
  <c r="L12" i="144"/>
  <c r="L13" i="144" s="1"/>
  <c r="B5" i="156"/>
  <c r="B5" i="161"/>
  <c r="B5" i="162"/>
  <c r="B5" i="155"/>
  <c r="B5" i="165" s="1"/>
  <c r="B5" i="159"/>
  <c r="B5" i="91"/>
  <c r="B5" i="23"/>
  <c r="B5" i="30"/>
  <c r="B5" i="157"/>
  <c r="B5" i="51"/>
  <c r="B5" i="29"/>
  <c r="B5" i="27"/>
  <c r="B5" i="17"/>
  <c r="B5" i="21"/>
  <c r="B5" i="22"/>
  <c r="B5" i="24"/>
  <c r="B5" i="7"/>
  <c r="B5" i="5"/>
  <c r="B5" i="19"/>
  <c r="P95" i="129" l="1"/>
  <c r="O17" i="129"/>
  <c r="O17" i="162" l="1"/>
  <c r="L12" i="162" s="1"/>
  <c r="L13" i="162" s="1"/>
  <c r="L35" i="7"/>
  <c r="P59" i="159" l="1"/>
  <c r="P55" i="159"/>
  <c r="M69" i="51" l="1"/>
  <c r="P69" i="51" s="1"/>
  <c r="P68" i="51"/>
  <c r="P62" i="24" l="1"/>
  <c r="P61" i="24" s="1"/>
  <c r="P60" i="24" s="1"/>
  <c r="P70" i="161" l="1"/>
  <c r="P69" i="161"/>
  <c r="P68" i="161" s="1"/>
  <c r="P63" i="161"/>
  <c r="P65" i="161"/>
  <c r="P62" i="161"/>
  <c r="Q29" i="161"/>
  <c r="Q29" i="156"/>
  <c r="P42" i="159"/>
  <c r="P41" i="159"/>
  <c r="P39" i="157"/>
  <c r="P38" i="157" s="1"/>
  <c r="P36" i="157"/>
  <c r="P35" i="157" s="1"/>
  <c r="P34" i="157" s="1"/>
  <c r="P87" i="156" l="1"/>
  <c r="P48" i="157"/>
  <c r="P32" i="157"/>
  <c r="P67" i="161"/>
  <c r="P61" i="161"/>
  <c r="P64" i="161"/>
  <c r="P60" i="161" l="1"/>
  <c r="N24" i="7"/>
  <c r="P63" i="159" l="1"/>
  <c r="P58" i="159"/>
  <c r="P57" i="159"/>
  <c r="P56" i="159"/>
  <c r="P54" i="159"/>
  <c r="P57" i="155"/>
  <c r="P56" i="155"/>
  <c r="P53" i="159" l="1"/>
  <c r="P36" i="156"/>
  <c r="P35" i="156" s="1"/>
  <c r="P59" i="155"/>
  <c r="P58" i="155"/>
  <c r="P55" i="155"/>
  <c r="P54" i="155"/>
  <c r="P53" i="155"/>
  <c r="P52" i="155"/>
  <c r="P72" i="156" l="1"/>
  <c r="P71" i="156" s="1"/>
  <c r="P38" i="156"/>
  <c r="P34" i="156" s="1"/>
  <c r="P51" i="155"/>
  <c r="R67" i="161" l="1"/>
  <c r="S67" i="161" s="1"/>
  <c r="P58" i="161"/>
  <c r="P57" i="161"/>
  <c r="P53" i="161"/>
  <c r="P52" i="161"/>
  <c r="P51" i="161"/>
  <c r="P50" i="161"/>
  <c r="P49" i="161"/>
  <c r="P44" i="161"/>
  <c r="P43" i="161"/>
  <c r="P42" i="161"/>
  <c r="P41" i="161"/>
  <c r="P40" i="161"/>
  <c r="P36" i="161"/>
  <c r="P35" i="161" s="1"/>
  <c r="P34" i="161" s="1"/>
  <c r="P39" i="161" l="1"/>
  <c r="P38" i="161" s="1"/>
  <c r="P33" i="161" s="1"/>
  <c r="P48" i="161"/>
  <c r="P47" i="161" s="1"/>
  <c r="P56" i="161"/>
  <c r="P55" i="161" s="1"/>
  <c r="P46" i="161" l="1"/>
  <c r="M40" i="7" s="1"/>
  <c r="Q50" i="161"/>
  <c r="Q51" i="161" s="1"/>
  <c r="R48" i="161"/>
  <c r="L40" i="7" l="1"/>
  <c r="P31" i="161"/>
  <c r="P30" i="161" s="1"/>
  <c r="P72" i="161" l="1"/>
  <c r="P29" i="161"/>
  <c r="L12" i="161" s="1"/>
  <c r="Q30" i="161"/>
  <c r="O17" i="161" l="1"/>
  <c r="R36" i="27"/>
  <c r="P72" i="159" l="1"/>
  <c r="P71" i="159" s="1"/>
  <c r="P70" i="159" s="1"/>
  <c r="P68" i="159"/>
  <c r="P67" i="159" s="1"/>
  <c r="P66" i="159" s="1"/>
  <c r="P44" i="159"/>
  <c r="P43" i="159"/>
  <c r="P40" i="159"/>
  <c r="P36" i="159"/>
  <c r="P35" i="159" s="1"/>
  <c r="R29" i="159"/>
  <c r="P39" i="159" l="1"/>
  <c r="P38" i="159" s="1"/>
  <c r="P34" i="159" s="1"/>
  <c r="P51" i="159"/>
  <c r="P50" i="159" s="1"/>
  <c r="P52" i="159"/>
  <c r="M31" i="7" l="1"/>
  <c r="R30" i="157"/>
  <c r="R30" i="30"/>
  <c r="R30" i="51"/>
  <c r="R30" i="17"/>
  <c r="O40" i="7" l="1"/>
  <c r="O41" i="7" s="1"/>
  <c r="R30" i="21"/>
  <c r="H31" i="1"/>
  <c r="R30" i="19"/>
  <c r="U37" i="5"/>
  <c r="U38" i="5"/>
  <c r="O24" i="7" l="1"/>
  <c r="P31" i="157" l="1"/>
  <c r="P30" i="157" s="1"/>
  <c r="V27" i="7"/>
  <c r="P63" i="155"/>
  <c r="P62" i="155" s="1"/>
  <c r="P61" i="155" s="1"/>
  <c r="P50" i="155"/>
  <c r="M47" i="155"/>
  <c r="P47" i="155" s="1"/>
  <c r="P46" i="155" s="1"/>
  <c r="P45" i="155" s="1"/>
  <c r="P43" i="155"/>
  <c r="P42" i="155"/>
  <c r="P41" i="155"/>
  <c r="P40" i="155"/>
  <c r="P36" i="155"/>
  <c r="R29" i="155"/>
  <c r="P49" i="155" l="1"/>
  <c r="R31" i="157"/>
  <c r="O18" i="157"/>
  <c r="L13" i="157" s="1"/>
  <c r="L14" i="157" s="1"/>
  <c r="P35" i="155"/>
  <c r="P39" i="155"/>
  <c r="P38" i="155" s="1"/>
  <c r="P34" i="155" l="1"/>
  <c r="M33" i="7"/>
  <c r="O34" i="7"/>
  <c r="P33" i="155" l="1"/>
  <c r="L33" i="7" s="1"/>
  <c r="O33" i="7" s="1"/>
  <c r="P31" i="155" l="1"/>
  <c r="P30" i="155" s="1"/>
  <c r="P29" i="155" s="1"/>
  <c r="L12" i="155" s="1"/>
  <c r="L13" i="155" s="1"/>
  <c r="P65" i="156"/>
  <c r="P64" i="156"/>
  <c r="P65" i="155" l="1"/>
  <c r="O17" i="155"/>
  <c r="R30" i="155"/>
  <c r="P63" i="156"/>
  <c r="P62" i="156" s="1"/>
  <c r="P33" i="156" s="1"/>
  <c r="P31" i="156" s="1"/>
  <c r="P146" i="156" s="1"/>
  <c r="M36" i="7" l="1"/>
  <c r="E20" i="134"/>
  <c r="L36" i="7" l="1"/>
  <c r="O36" i="7" s="1"/>
  <c r="P30" i="156" l="1"/>
  <c r="Q30" i="156" s="1"/>
  <c r="P29" i="156" l="1"/>
  <c r="L12" i="156" s="1"/>
  <c r="L13" i="156" s="1"/>
  <c r="M65" i="51"/>
  <c r="O17" i="156" l="1"/>
  <c r="M67" i="51" l="1"/>
  <c r="P67" i="51" s="1"/>
  <c r="M66" i="51"/>
  <c r="P66" i="51" s="1"/>
  <c r="P65" i="51"/>
  <c r="P64" i="51"/>
  <c r="P63" i="51"/>
  <c r="P53" i="30" l="1"/>
  <c r="P62" i="51"/>
  <c r="S62" i="51" s="1"/>
  <c r="P57" i="30"/>
  <c r="P56" i="30" l="1"/>
  <c r="P49" i="30" s="1"/>
  <c r="P40" i="30" l="1"/>
  <c r="P32" i="30" s="1"/>
  <c r="P31" i="30" s="1"/>
  <c r="P61" i="30" s="1"/>
  <c r="M25" i="7"/>
  <c r="P30" i="30" l="1"/>
  <c r="R31" i="30"/>
  <c r="P54" i="51" l="1"/>
  <c r="M62" i="21" l="1"/>
  <c r="M60" i="51"/>
  <c r="P60" i="51" s="1"/>
  <c r="P59" i="51" s="1"/>
  <c r="T30" i="5"/>
  <c r="T29" i="5"/>
  <c r="M69" i="30" l="1"/>
  <c r="M58" i="23" s="1"/>
  <c r="M50" i="91" s="1"/>
  <c r="M55" i="157"/>
  <c r="M68" i="30" s="1"/>
  <c r="M57" i="23" s="1"/>
  <c r="M49" i="91" s="1"/>
  <c r="P24" i="5"/>
  <c r="P50" i="24"/>
  <c r="AD87" i="51"/>
  <c r="M55" i="51"/>
  <c r="P55" i="51" s="1"/>
  <c r="M81" i="159" l="1"/>
  <c r="M72" i="155" s="1"/>
  <c r="M86" i="164"/>
  <c r="T21" i="5"/>
  <c r="T22" i="5"/>
  <c r="T23" i="5"/>
  <c r="T24" i="5"/>
  <c r="T25" i="5"/>
  <c r="T26" i="5"/>
  <c r="T27" i="5"/>
  <c r="T20" i="5"/>
  <c r="M52" i="51"/>
  <c r="P70" i="22"/>
  <c r="P69" i="22"/>
  <c r="P68" i="22"/>
  <c r="P67" i="22"/>
  <c r="P66" i="22"/>
  <c r="P65" i="22"/>
  <c r="P64" i="22"/>
  <c r="P63" i="22"/>
  <c r="M108" i="165" l="1"/>
  <c r="AE67" i="51"/>
  <c r="AE63" i="51"/>
  <c r="AE56" i="51"/>
  <c r="AE74" i="51"/>
  <c r="M147" i="162" l="1"/>
  <c r="M153" i="156"/>
  <c r="M79" i="161" s="1"/>
  <c r="P34" i="22"/>
  <c r="P33" i="22" s="1"/>
  <c r="O44" i="7" l="1"/>
  <c r="R30" i="24" l="1"/>
  <c r="R29" i="22"/>
  <c r="P43" i="17"/>
  <c r="R30" i="27"/>
  <c r="R30" i="29"/>
  <c r="R30" i="91"/>
  <c r="N33" i="1" l="1"/>
  <c r="P41" i="19" l="1"/>
  <c r="P40" i="19" s="1"/>
  <c r="Y49" i="91"/>
  <c r="O21" i="1"/>
  <c r="O22" i="1"/>
  <c r="AD111" i="51"/>
  <c r="R30" i="23" l="1"/>
  <c r="AH113" i="51"/>
  <c r="S39" i="19"/>
  <c r="AD113" i="51" l="1"/>
  <c r="AH114" i="51"/>
  <c r="AH117" i="51" s="1"/>
  <c r="N32" i="1" l="1"/>
  <c r="P21" i="1"/>
  <c r="P22" i="1"/>
  <c r="P23" i="1"/>
  <c r="AB129" i="51"/>
  <c r="AC126" i="51"/>
  <c r="AC125" i="51"/>
  <c r="AC124" i="51"/>
  <c r="AC123" i="51"/>
  <c r="AC122" i="51"/>
  <c r="AC121" i="51"/>
  <c r="AC120" i="51"/>
  <c r="AC119" i="51"/>
  <c r="AC128" i="51" l="1"/>
  <c r="AC129" i="51" s="1"/>
  <c r="AC130" i="51" s="1"/>
  <c r="Y42" i="91" l="1"/>
  <c r="Y41" i="91"/>
  <c r="Y50" i="91"/>
  <c r="Y44" i="91" l="1"/>
  <c r="S37" i="19"/>
  <c r="M20" i="1"/>
  <c r="P38" i="29"/>
  <c r="P37" i="29" s="1"/>
  <c r="AE83" i="51"/>
  <c r="AP91" i="51"/>
  <c r="AQ72" i="51"/>
  <c r="AP67" i="51"/>
  <c r="N20" i="1"/>
  <c r="K32" i="1" s="1"/>
  <c r="K35" i="1" s="1"/>
  <c r="P52" i="51"/>
  <c r="P53" i="51"/>
  <c r="P36" i="27"/>
  <c r="P35" i="27" s="1"/>
  <c r="P44" i="24"/>
  <c r="P38" i="91"/>
  <c r="P37" i="91" s="1"/>
  <c r="P36" i="91" s="1"/>
  <c r="P53" i="24"/>
  <c r="P52" i="24"/>
  <c r="P51" i="24"/>
  <c r="P49" i="24"/>
  <c r="P48" i="24"/>
  <c r="P46" i="24"/>
  <c r="P45" i="24"/>
  <c r="P43" i="24"/>
  <c r="P42" i="24"/>
  <c r="P41" i="24"/>
  <c r="P40" i="24"/>
  <c r="P39" i="24"/>
  <c r="P38" i="24"/>
  <c r="P38" i="17"/>
  <c r="P37" i="17" s="1"/>
  <c r="P37" i="24"/>
  <c r="P47" i="24"/>
  <c r="P54" i="24"/>
  <c r="P55" i="24"/>
  <c r="U68" i="24"/>
  <c r="P39" i="19"/>
  <c r="P38" i="19" s="1"/>
  <c r="P21" i="5"/>
  <c r="P22" i="5"/>
  <c r="P23" i="5"/>
  <c r="P36" i="24" l="1"/>
  <c r="P36" i="29"/>
  <c r="P32" i="29" s="1"/>
  <c r="P33" i="5"/>
  <c r="P35" i="91"/>
  <c r="M28" i="7" s="1"/>
  <c r="P36" i="17"/>
  <c r="K31" i="1"/>
  <c r="O23" i="1" s="1"/>
  <c r="P20" i="1"/>
  <c r="O20" i="1"/>
  <c r="P58" i="51"/>
  <c r="P57" i="51" s="1"/>
  <c r="P51" i="51"/>
  <c r="P35" i="51" s="1"/>
  <c r="P32" i="51" s="1"/>
  <c r="P34" i="27"/>
  <c r="P31" i="22"/>
  <c r="M17" i="7" s="1"/>
  <c r="P37" i="19"/>
  <c r="P36" i="19" s="1"/>
  <c r="P35" i="19" s="1"/>
  <c r="P35" i="17" l="1"/>
  <c r="P32" i="17" s="1"/>
  <c r="P30" i="29"/>
  <c r="O18" i="29" s="1"/>
  <c r="L13" i="29" s="1"/>
  <c r="L14" i="29" s="1"/>
  <c r="P31" i="29"/>
  <c r="P41" i="29" s="1"/>
  <c r="P18" i="5"/>
  <c r="P16" i="5" s="1"/>
  <c r="P15" i="5" s="1"/>
  <c r="P40" i="5" s="1"/>
  <c r="S41" i="5" s="1"/>
  <c r="L22" i="7"/>
  <c r="P34" i="19"/>
  <c r="M21" i="7"/>
  <c r="O21" i="7" s="1"/>
  <c r="M22" i="7"/>
  <c r="P32" i="27"/>
  <c r="P31" i="27" s="1"/>
  <c r="P39" i="27" s="1"/>
  <c r="S35" i="17"/>
  <c r="P35" i="24"/>
  <c r="P34" i="24" s="1"/>
  <c r="T18" i="7"/>
  <c r="O28" i="7"/>
  <c r="P32" i="91"/>
  <c r="R31" i="91" s="1"/>
  <c r="O17" i="7"/>
  <c r="M26" i="7"/>
  <c r="O26" i="7" s="1"/>
  <c r="F16" i="1"/>
  <c r="F15" i="1" s="1"/>
  <c r="R31" i="29"/>
  <c r="P31" i="17" l="1"/>
  <c r="R31" i="17" s="1"/>
  <c r="P30" i="17"/>
  <c r="S29" i="7"/>
  <c r="O29" i="7"/>
  <c r="P32" i="24"/>
  <c r="O18" i="17"/>
  <c r="L13" i="17" s="1"/>
  <c r="L14" i="17" s="1"/>
  <c r="M19" i="7"/>
  <c r="M20" i="7"/>
  <c r="O20" i="7" s="1"/>
  <c r="P30" i="27"/>
  <c r="R31" i="27" s="1"/>
  <c r="O25" i="7"/>
  <c r="T17" i="7"/>
  <c r="P46" i="17"/>
  <c r="P32" i="19"/>
  <c r="P31" i="19" s="1"/>
  <c r="R31" i="19" s="1"/>
  <c r="T19" i="7"/>
  <c r="V26" i="7"/>
  <c r="T20" i="7"/>
  <c r="P31" i="91"/>
  <c r="P30" i="91"/>
  <c r="R30" i="22"/>
  <c r="P30" i="22"/>
  <c r="P29" i="22"/>
  <c r="F29" i="1"/>
  <c r="J30" i="1" s="1"/>
  <c r="E10" i="134" s="1"/>
  <c r="E9" i="134" s="1"/>
  <c r="P31" i="23"/>
  <c r="P50" i="23"/>
  <c r="S27" i="7" l="1"/>
  <c r="O27" i="7"/>
  <c r="P31" i="24"/>
  <c r="P30" i="24" s="1"/>
  <c r="R31" i="24" s="1"/>
  <c r="M16" i="7"/>
  <c r="O16" i="7" s="1"/>
  <c r="O19" i="7"/>
  <c r="O18" i="27"/>
  <c r="L13" i="27" s="1"/>
  <c r="L14" i="27" s="1"/>
  <c r="T16" i="7"/>
  <c r="P45" i="19"/>
  <c r="P30" i="19"/>
  <c r="P30" i="23"/>
  <c r="R31" i="23" s="1"/>
  <c r="N30" i="1"/>
  <c r="L13" i="91"/>
  <c r="L14" i="91" s="1"/>
  <c r="P42" i="91"/>
  <c r="O18" i="91"/>
  <c r="F28" i="1"/>
  <c r="O18" i="22"/>
  <c r="L13" i="22" s="1"/>
  <c r="L14" i="22" s="1"/>
  <c r="P76" i="22"/>
  <c r="P65" i="24" l="1"/>
  <c r="O18" i="24"/>
  <c r="L13" i="24" s="1"/>
  <c r="L14" i="24" s="1"/>
  <c r="O18" i="19"/>
  <c r="L13" i="19" s="1"/>
  <c r="L14" i="19" s="1"/>
  <c r="M15" i="7"/>
  <c r="O18" i="23"/>
  <c r="L13" i="23" s="1"/>
  <c r="L14" i="23" s="1"/>
  <c r="O18" i="30"/>
  <c r="L13" i="30" s="1"/>
  <c r="L14" i="30" s="1"/>
  <c r="O15" i="7" l="1"/>
  <c r="N47" i="7" l="1"/>
  <c r="O35" i="7" l="1"/>
  <c r="O37" i="7" s="1"/>
  <c r="T21" i="7" l="1"/>
  <c r="F33" i="1" l="1"/>
  <c r="J34" i="1" s="1"/>
  <c r="E14" i="134" l="1"/>
  <c r="O22" i="7"/>
  <c r="P30" i="51" l="1"/>
  <c r="P31" i="51"/>
  <c r="R31" i="51" s="1"/>
  <c r="L13" i="51" l="1"/>
  <c r="L14" i="51" s="1"/>
  <c r="O18" i="51"/>
  <c r="P71" i="51"/>
  <c r="N31" i="1" l="1"/>
  <c r="N36" i="1" s="1"/>
  <c r="O42" i="7" l="1"/>
  <c r="P55" i="21"/>
  <c r="P34" i="21"/>
  <c r="P32" i="21" s="1"/>
  <c r="P30" i="21" l="1"/>
  <c r="P31" i="21"/>
  <c r="M18" i="7" s="1"/>
  <c r="O18" i="7" l="1"/>
  <c r="O23" i="7" s="1"/>
  <c r="R31" i="21"/>
  <c r="O18" i="21"/>
  <c r="L13" i="21"/>
  <c r="L14" i="21" s="1"/>
  <c r="S23" i="7" l="1"/>
  <c r="T15" i="7"/>
  <c r="T13" i="7" s="1"/>
  <c r="U29" i="7" l="1"/>
  <c r="U25" i="7"/>
  <c r="O30" i="7" l="1"/>
  <c r="P33" i="159"/>
  <c r="P31" i="159" s="1"/>
  <c r="P30" i="159" l="1"/>
  <c r="P29" i="159" s="1"/>
  <c r="L31" i="7"/>
  <c r="S32" i="7"/>
  <c r="O31" i="7" l="1"/>
  <c r="O32" i="7" s="1"/>
  <c r="L47" i="7"/>
  <c r="F31" i="1" s="1"/>
  <c r="J32" i="1" s="1"/>
  <c r="E12" i="134" s="1"/>
  <c r="O17" i="159"/>
  <c r="L12" i="159"/>
  <c r="L13" i="159" s="1"/>
  <c r="P74" i="159"/>
  <c r="R30" i="159"/>
  <c r="P61" i="131"/>
  <c r="P52" i="131" s="1"/>
  <c r="P31" i="131" l="1"/>
  <c r="P30" i="131" s="1"/>
  <c r="M43" i="7"/>
  <c r="O43" i="7" l="1"/>
  <c r="M47" i="7"/>
  <c r="F32" i="1" s="1"/>
  <c r="J33" i="1" s="1"/>
  <c r="E13" i="134" s="1"/>
  <c r="E11" i="134" s="1"/>
  <c r="P29" i="131"/>
  <c r="P93" i="131"/>
  <c r="O17" i="131" l="1"/>
  <c r="Q30" i="131"/>
  <c r="L12" i="131"/>
  <c r="L13" i="131" s="1"/>
  <c r="E18" i="134"/>
  <c r="E8" i="134"/>
  <c r="G9" i="134" s="1"/>
  <c r="O45" i="7"/>
  <c r="O47" i="7" s="1"/>
  <c r="T22" i="7"/>
  <c r="T49" i="7" l="1"/>
  <c r="F30" i="1"/>
  <c r="K41" i="1" l="1"/>
  <c r="K30" i="1"/>
  <c r="N38" i="1" s="1"/>
  <c r="L39" i="1" s="1"/>
  <c r="F27" i="1"/>
  <c r="N41" i="1"/>
  <c r="H30" i="1"/>
  <c r="H37" i="1"/>
  <c r="H32" i="1"/>
  <c r="F37" i="1" l="1"/>
  <c r="K39" i="1"/>
  <c r="J67" i="75" l="1"/>
  <c r="J67" i="166"/>
</calcChain>
</file>

<file path=xl/comments1.xml><?xml version="1.0" encoding="utf-8"?>
<comments xmlns="http://schemas.openxmlformats.org/spreadsheetml/2006/main">
  <authors>
    <author>SASU</author>
  </authors>
  <commentList>
    <comment ref="R15" authorId="0">
      <text>
        <r>
          <rPr>
            <b/>
            <sz val="9"/>
            <color indexed="81"/>
            <rFont val="Tahoma"/>
            <family val="2"/>
          </rPr>
          <t>SASU:</t>
        </r>
        <r>
          <rPr>
            <sz val="9"/>
            <color indexed="81"/>
            <rFont val="Tahoma"/>
            <family val="2"/>
          </rPr>
          <t xml:space="preserve">
Jumlah Sebelum Perubahan
</t>
        </r>
      </text>
    </comment>
  </commentList>
</comments>
</file>

<file path=xl/comments2.xml><?xml version="1.0" encoding="utf-8"?>
<comments xmlns="http://schemas.openxmlformats.org/spreadsheetml/2006/main">
  <authors>
    <author>SASU</author>
  </authors>
  <commentList>
    <comment ref="M36" authorId="0">
      <text>
        <r>
          <rPr>
            <b/>
            <sz val="9"/>
            <color indexed="81"/>
            <rFont val="Tahoma"/>
            <family val="2"/>
          </rPr>
          <t>SASU:</t>
        </r>
        <r>
          <rPr>
            <sz val="9"/>
            <color indexed="81"/>
            <rFont val="Tahoma"/>
            <family val="2"/>
          </rPr>
          <t xml:space="preserve">
40 % dari jumlah peg ( jlh peg 35
 org)</t>
        </r>
      </text>
    </comment>
  </commentList>
</comments>
</file>

<file path=xl/comments3.xml><?xml version="1.0" encoding="utf-8"?>
<comments xmlns="http://schemas.openxmlformats.org/spreadsheetml/2006/main">
  <authors>
    <author>SASU</author>
  </authors>
  <commentList>
    <comment ref="P53" authorId="0">
      <text>
        <r>
          <rPr>
            <b/>
            <sz val="9"/>
            <color indexed="81"/>
            <rFont val="Tahoma"/>
            <family val="2"/>
          </rPr>
          <t>SASU:</t>
        </r>
        <r>
          <rPr>
            <sz val="9"/>
            <color indexed="81"/>
            <rFont val="Tahoma"/>
            <family val="2"/>
          </rPr>
          <t xml:space="preserve">
ATK harus 500 rb</t>
        </r>
      </text>
    </comment>
  </commentList>
</comments>
</file>

<file path=xl/comments4.xml><?xml version="1.0" encoding="utf-8"?>
<comments xmlns="http://schemas.openxmlformats.org/spreadsheetml/2006/main">
  <authors>
    <author>Asus</author>
    <author>SASU</author>
  </authors>
  <commentList>
    <comment ref="L44" authorId="0">
      <text>
        <r>
          <rPr>
            <b/>
            <sz val="9"/>
            <color indexed="81"/>
            <rFont val="Tahoma"/>
            <family val="2"/>
          </rPr>
          <t>Asus:</t>
        </r>
        <r>
          <rPr>
            <sz val="9"/>
            <color indexed="81"/>
            <rFont val="Tahoma"/>
            <family val="2"/>
          </rPr>
          <t xml:space="preserve">
walkot, wakil
</t>
        </r>
      </text>
    </comment>
    <comment ref="L45" authorId="0">
      <text>
        <r>
          <rPr>
            <b/>
            <sz val="9"/>
            <color indexed="81"/>
            <rFont val="Tahoma"/>
            <family val="2"/>
          </rPr>
          <t>Asus:</t>
        </r>
        <r>
          <rPr>
            <sz val="9"/>
            <color indexed="81"/>
            <rFont val="Tahoma"/>
            <family val="2"/>
          </rPr>
          <t xml:space="preserve">
Sekda</t>
        </r>
      </text>
    </comment>
    <comment ref="L46" authorId="0">
      <text>
        <r>
          <rPr>
            <b/>
            <sz val="9"/>
            <color indexed="81"/>
            <rFont val="Tahoma"/>
            <family val="2"/>
          </rPr>
          <t>Asus:</t>
        </r>
        <r>
          <rPr>
            <sz val="9"/>
            <color indexed="81"/>
            <rFont val="Tahoma"/>
            <family val="2"/>
          </rPr>
          <t xml:space="preserve">
Ass II</t>
        </r>
      </text>
    </comment>
    <comment ref="L47" authorId="0">
      <text>
        <r>
          <rPr>
            <b/>
            <sz val="9"/>
            <color indexed="81"/>
            <rFont val="Tahoma"/>
            <family val="2"/>
          </rPr>
          <t>Asus:</t>
        </r>
        <r>
          <rPr>
            <sz val="9"/>
            <color indexed="81"/>
            <rFont val="Tahoma"/>
            <family val="2"/>
          </rPr>
          <t xml:space="preserve">
Kadis kominfotik</t>
        </r>
      </text>
    </comment>
    <comment ref="L48" authorId="0">
      <text>
        <r>
          <rPr>
            <b/>
            <sz val="9"/>
            <color indexed="81"/>
            <rFont val="Tahoma"/>
            <family val="2"/>
          </rPr>
          <t>Asus:</t>
        </r>
        <r>
          <rPr>
            <sz val="9"/>
            <color indexed="81"/>
            <rFont val="Tahoma"/>
            <family val="2"/>
          </rPr>
          <t xml:space="preserve">
Ka Bappeda</t>
        </r>
      </text>
    </comment>
    <comment ref="L49" authorId="0">
      <text>
        <r>
          <rPr>
            <b/>
            <sz val="9"/>
            <color indexed="81"/>
            <rFont val="Tahoma"/>
            <family val="2"/>
          </rPr>
          <t>Asus:</t>
        </r>
        <r>
          <rPr>
            <sz val="9"/>
            <color indexed="81"/>
            <rFont val="Tahoma"/>
            <family val="2"/>
          </rPr>
          <t xml:space="preserve">
Sekdis Kominfo
Sekdis Bappeda
</t>
        </r>
      </text>
    </comment>
    <comment ref="L73" authorId="1">
      <text>
        <r>
          <rPr>
            <b/>
            <sz val="9"/>
            <color indexed="81"/>
            <rFont val="Tahoma"/>
            <family val="2"/>
          </rPr>
          <t>SASU:</t>
        </r>
        <r>
          <rPr>
            <sz val="9"/>
            <color indexed="81"/>
            <rFont val="Tahoma"/>
            <family val="2"/>
          </rPr>
          <t xml:space="preserve">
farid nyak umar tgl 27-12-2019 Rp. 198.000.000</t>
        </r>
      </text>
    </comment>
    <comment ref="L74" authorId="1">
      <text>
        <r>
          <rPr>
            <b/>
            <sz val="9"/>
            <color indexed="81"/>
            <rFont val="Tahoma"/>
            <family val="2"/>
          </rPr>
          <t>SASU:</t>
        </r>
        <r>
          <rPr>
            <sz val="9"/>
            <color indexed="81"/>
            <rFont val="Tahoma"/>
            <family val="2"/>
          </rPr>
          <t xml:space="preserve">
farid nyak umar tgl 31-12-2019 Rp. 50.000.000</t>
        </r>
      </text>
    </comment>
  </commentList>
</comments>
</file>

<file path=xl/comments5.xml><?xml version="1.0" encoding="utf-8"?>
<comments xmlns="http://schemas.openxmlformats.org/spreadsheetml/2006/main">
  <authors>
    <author>GOVERMENT</author>
  </authors>
  <commentList>
    <comment ref="L43" authorId="0">
      <text>
        <r>
          <rPr>
            <b/>
            <sz val="9"/>
            <color indexed="81"/>
            <rFont val="Tahoma"/>
            <family val="2"/>
          </rPr>
          <t>GOVERMENT:</t>
        </r>
        <r>
          <rPr>
            <sz val="9"/>
            <color indexed="81"/>
            <rFont val="Tahoma"/>
            <family val="2"/>
          </rPr>
          <t xml:space="preserve">
Walikota dan Wakil Walokota</t>
        </r>
      </text>
    </comment>
    <comment ref="L44" authorId="0">
      <text>
        <r>
          <rPr>
            <b/>
            <sz val="9"/>
            <color indexed="81"/>
            <rFont val="Tahoma"/>
            <family val="2"/>
          </rPr>
          <t>GOVERMENT:</t>
        </r>
        <r>
          <rPr>
            <sz val="9"/>
            <color indexed="81"/>
            <rFont val="Tahoma"/>
            <family val="2"/>
          </rPr>
          <t xml:space="preserve">
Sekda Kota Banda Aceh</t>
        </r>
      </text>
    </comment>
    <comment ref="L45" authorId="0">
      <text>
        <r>
          <rPr>
            <b/>
            <sz val="9"/>
            <color indexed="81"/>
            <rFont val="Tahoma"/>
            <family val="2"/>
          </rPr>
          <t>GOVERMENT:</t>
        </r>
        <r>
          <rPr>
            <sz val="9"/>
            <color indexed="81"/>
            <rFont val="Tahoma"/>
            <family val="2"/>
          </rPr>
          <t xml:space="preserve">
Kadis Kominfo</t>
        </r>
      </text>
    </comment>
    <comment ref="L46" authorId="0">
      <text>
        <r>
          <rPr>
            <b/>
            <sz val="9"/>
            <color indexed="81"/>
            <rFont val="Tahoma"/>
            <family val="2"/>
          </rPr>
          <t>GOVERMENT:</t>
        </r>
        <r>
          <rPr>
            <sz val="9"/>
            <color indexed="81"/>
            <rFont val="Tahoma"/>
            <family val="2"/>
          </rPr>
          <t xml:space="preserve">
Kabid E-Gov</t>
        </r>
      </text>
    </comment>
    <comment ref="L47" authorId="0">
      <text>
        <r>
          <rPr>
            <b/>
            <sz val="9"/>
            <color indexed="81"/>
            <rFont val="Tahoma"/>
            <family val="2"/>
          </rPr>
          <t>GOVERMENT:</t>
        </r>
        <r>
          <rPr>
            <sz val="9"/>
            <color indexed="81"/>
            <rFont val="Tahoma"/>
            <family val="2"/>
          </rPr>
          <t xml:space="preserve">
Kasi Infrastruktur</t>
        </r>
      </text>
    </comment>
    <comment ref="L48" authorId="0">
      <text>
        <r>
          <rPr>
            <b/>
            <sz val="9"/>
            <color indexed="81"/>
            <rFont val="Tahoma"/>
            <family val="2"/>
          </rPr>
          <t>GOVERMENT:</t>
        </r>
        <r>
          <rPr>
            <sz val="9"/>
            <color indexed="81"/>
            <rFont val="Tahoma"/>
            <family val="2"/>
          </rPr>
          <t xml:space="preserve">
Diskominfo
Pembangunan</t>
        </r>
      </text>
    </comment>
    <comment ref="L49" authorId="0">
      <text>
        <r>
          <rPr>
            <b/>
            <sz val="9"/>
            <color indexed="81"/>
            <rFont val="Tahoma"/>
            <family val="2"/>
          </rPr>
          <t>GOVERMENT:</t>
        </r>
        <r>
          <rPr>
            <sz val="9"/>
            <color indexed="81"/>
            <rFont val="Tahoma"/>
            <family val="2"/>
          </rPr>
          <t xml:space="preserve">
Tenaga Ahli Jaringan TIK
Banda Aceh</t>
        </r>
      </text>
    </comment>
    <comment ref="L52" authorId="0">
      <text>
        <r>
          <rPr>
            <b/>
            <sz val="9"/>
            <color indexed="81"/>
            <rFont val="Tahoma"/>
            <family val="2"/>
          </rPr>
          <t>GOVERMENT:</t>
        </r>
        <r>
          <rPr>
            <sz val="9"/>
            <color indexed="81"/>
            <rFont val="Tahoma"/>
            <family val="2"/>
          </rPr>
          <t xml:space="preserve">
Sekda</t>
        </r>
      </text>
    </comment>
    <comment ref="L53" authorId="0">
      <text>
        <r>
          <rPr>
            <b/>
            <sz val="9"/>
            <color indexed="81"/>
            <rFont val="Tahoma"/>
            <family val="2"/>
          </rPr>
          <t>GOVERMENT:</t>
        </r>
        <r>
          <rPr>
            <sz val="9"/>
            <color indexed="81"/>
            <rFont val="Tahoma"/>
            <family val="2"/>
          </rPr>
          <t xml:space="preserve">
Kadis Kominfo</t>
        </r>
      </text>
    </comment>
    <comment ref="L54" authorId="0">
      <text>
        <r>
          <rPr>
            <b/>
            <sz val="9"/>
            <color indexed="81"/>
            <rFont val="Tahoma"/>
            <family val="2"/>
          </rPr>
          <t>GOVERMENT:</t>
        </r>
        <r>
          <rPr>
            <sz val="9"/>
            <color indexed="81"/>
            <rFont val="Tahoma"/>
            <family val="2"/>
          </rPr>
          <t xml:space="preserve">
Asisten III</t>
        </r>
      </text>
    </comment>
    <comment ref="L55" authorId="0">
      <text>
        <r>
          <rPr>
            <b/>
            <sz val="9"/>
            <color indexed="81"/>
            <rFont val="Tahoma"/>
            <family val="2"/>
          </rPr>
          <t>GOVERMENT:</t>
        </r>
        <r>
          <rPr>
            <sz val="9"/>
            <color indexed="81"/>
            <rFont val="Tahoma"/>
            <family val="2"/>
          </rPr>
          <t xml:space="preserve">
Kabid E-Gov</t>
        </r>
      </text>
    </comment>
    <comment ref="L56" authorId="0">
      <text>
        <r>
          <rPr>
            <b/>
            <sz val="9"/>
            <color indexed="81"/>
            <rFont val="Tahoma"/>
            <family val="2"/>
          </rPr>
          <t>GOVERMENT:</t>
        </r>
        <r>
          <rPr>
            <sz val="9"/>
            <color indexed="81"/>
            <rFont val="Tahoma"/>
            <family val="2"/>
          </rPr>
          <t xml:space="preserve">
Kasi Aplikasi</t>
        </r>
      </text>
    </comment>
    <comment ref="L57" authorId="0">
      <text>
        <r>
          <rPr>
            <b/>
            <sz val="9"/>
            <color indexed="81"/>
            <rFont val="Tahoma"/>
            <family val="2"/>
          </rPr>
          <t>GOVERMENT:</t>
        </r>
        <r>
          <rPr>
            <sz val="9"/>
            <color indexed="81"/>
            <rFont val="Tahoma"/>
            <family val="2"/>
          </rPr>
          <t xml:space="preserve">
Dede
Buk Yanti
CPNS
UPTD ZIS Bappeda
</t>
        </r>
      </text>
    </comment>
    <comment ref="L58" authorId="0">
      <text>
        <r>
          <rPr>
            <b/>
            <sz val="9"/>
            <color indexed="81"/>
            <rFont val="Tahoma"/>
            <family val="2"/>
          </rPr>
          <t>Tim Aplikasi E Gov</t>
        </r>
      </text>
    </comment>
    <comment ref="O76" authorId="0">
      <text>
        <r>
          <rPr>
            <b/>
            <sz val="9"/>
            <color indexed="81"/>
            <rFont val="Tahoma"/>
            <family val="2"/>
          </rPr>
          <t>GOVERMENT:</t>
        </r>
        <r>
          <rPr>
            <sz val="9"/>
            <color indexed="81"/>
            <rFont val="Tahoma"/>
            <family val="2"/>
          </rPr>
          <t xml:space="preserve">
50 Mbps</t>
        </r>
      </text>
    </comment>
  </commentList>
</comments>
</file>

<file path=xl/comments6.xml><?xml version="1.0" encoding="utf-8"?>
<comments xmlns="http://schemas.openxmlformats.org/spreadsheetml/2006/main">
  <authors>
    <author>SASU</author>
  </authors>
  <commentList>
    <comment ref="L94" authorId="0">
      <text>
        <r>
          <rPr>
            <b/>
            <sz val="9"/>
            <color indexed="81"/>
            <rFont val="Tahoma"/>
            <family val="2"/>
          </rPr>
          <t>SASU:</t>
        </r>
        <r>
          <rPr>
            <sz val="9"/>
            <color indexed="81"/>
            <rFont val="Tahoma"/>
            <family val="2"/>
          </rPr>
          <t xml:space="preserve">
dirubah menjadi tim penyusun dokumen integrasi aplikasi dan bisnis proses aplikasi SKPD</t>
        </r>
      </text>
    </comment>
  </commentList>
</comments>
</file>

<file path=xl/comments7.xml><?xml version="1.0" encoding="utf-8"?>
<comments xmlns="http://schemas.openxmlformats.org/spreadsheetml/2006/main">
  <authors>
    <author>COMPAQ</author>
    <author>SASU</author>
  </authors>
  <commentList>
    <comment ref="L40" authorId="0">
      <text>
        <r>
          <rPr>
            <b/>
            <sz val="9"/>
            <color indexed="81"/>
            <rFont val="Tahoma"/>
            <family val="2"/>
          </rPr>
          <t>COMPAQ:</t>
        </r>
        <r>
          <rPr>
            <sz val="9"/>
            <color indexed="81"/>
            <rFont val="Tahoma"/>
            <family val="2"/>
          </rPr>
          <t xml:space="preserve">
Walikota
Wakil Walikota
</t>
        </r>
      </text>
    </comment>
    <comment ref="L41" authorId="0">
      <text>
        <r>
          <rPr>
            <b/>
            <sz val="9"/>
            <color indexed="81"/>
            <rFont val="Tahoma"/>
            <family val="2"/>
          </rPr>
          <t>COMPAQ:</t>
        </r>
        <r>
          <rPr>
            <sz val="9"/>
            <color indexed="81"/>
            <rFont val="Tahoma"/>
            <family val="2"/>
          </rPr>
          <t xml:space="preserve">
Kadiskominfotik</t>
        </r>
      </text>
    </comment>
    <comment ref="L57" authorId="1">
      <text>
        <r>
          <rPr>
            <b/>
            <sz val="9"/>
            <color indexed="81"/>
            <rFont val="Tahoma"/>
            <family val="2"/>
          </rPr>
          <t>SASU:</t>
        </r>
        <r>
          <rPr>
            <sz val="9"/>
            <color indexed="81"/>
            <rFont val="Tahoma"/>
            <family val="2"/>
          </rPr>
          <t xml:space="preserve">
hrs 500 rb</t>
        </r>
      </text>
    </comment>
  </commentList>
</comments>
</file>

<file path=xl/comments8.xml><?xml version="1.0" encoding="utf-8"?>
<comments xmlns="http://schemas.openxmlformats.org/spreadsheetml/2006/main">
  <authors>
    <author>Author</author>
  </authors>
  <commentList>
    <comment ref="L83" authorId="0">
      <text>
        <r>
          <rPr>
            <b/>
            <sz val="9"/>
            <color indexed="81"/>
            <rFont val="Tahoma"/>
            <family val="2"/>
          </rPr>
          <t>Author:</t>
        </r>
        <r>
          <rPr>
            <sz val="9"/>
            <color indexed="81"/>
            <rFont val="Tahoma"/>
            <family val="2"/>
          </rPr>
          <t xml:space="preserve">
PPID Pembantu   45 org
Operator PPID     45 org
Narasumber           2 org
Moderator             1 org
Notulen                1 org
Panitia                 10 org
Petugas kebersihan 3 org</t>
        </r>
      </text>
    </comment>
    <comment ref="L84" authorId="0">
      <text>
        <r>
          <rPr>
            <b/>
            <sz val="9"/>
            <color indexed="81"/>
            <rFont val="Tahoma"/>
            <family val="2"/>
          </rPr>
          <t>Author:</t>
        </r>
        <r>
          <rPr>
            <sz val="9"/>
            <color indexed="81"/>
            <rFont val="Tahoma"/>
            <family val="2"/>
          </rPr>
          <t xml:space="preserve">
PPID Pembantu   45 org
Operator PPID     45 org
Undangan Pembukaan 45 org
Narasumber           2 org
Moderator             1 org
Notulen                1 org
Panitia                 10 org
Petugas kebersihan 3 org</t>
        </r>
      </text>
    </comment>
    <comment ref="L85" authorId="0">
      <text>
        <r>
          <rPr>
            <b/>
            <sz val="9"/>
            <color indexed="81"/>
            <rFont val="Tahoma"/>
            <family val="2"/>
          </rPr>
          <t>Author:</t>
        </r>
        <r>
          <rPr>
            <sz val="9"/>
            <color indexed="81"/>
            <rFont val="Tahoma"/>
            <family val="2"/>
          </rPr>
          <t xml:space="preserve">
Peserta para sekretaris  45 org
Tim Peringkatan             7 org
panitia                          8 org</t>
        </r>
      </text>
    </comment>
  </commentList>
</comments>
</file>

<file path=xl/comments9.xml><?xml version="1.0" encoding="utf-8"?>
<comments xmlns="http://schemas.openxmlformats.org/spreadsheetml/2006/main">
  <authors>
    <author>Author</author>
  </authors>
  <commentList>
    <comment ref="M89" authorId="0">
      <text>
        <r>
          <rPr>
            <b/>
            <sz val="9"/>
            <color indexed="81"/>
            <rFont val="Tahoma"/>
            <family val="2"/>
          </rPr>
          <t>Author:</t>
        </r>
        <r>
          <rPr>
            <sz val="9"/>
            <color indexed="81"/>
            <rFont val="Tahoma"/>
            <family val="2"/>
          </rPr>
          <t xml:space="preserve">
- Peserta (27 bh)
- Pendamping (9 bh)
- Dewan Juri (3 bh)
- MC (1 bh)
- Panitia (10 bh)</t>
        </r>
      </text>
    </comment>
    <comment ref="M90" authorId="0">
      <text>
        <r>
          <rPr>
            <b/>
            <sz val="9"/>
            <color indexed="81"/>
            <rFont val="Tahoma"/>
            <family val="2"/>
          </rPr>
          <t>Cetak Sertifikat :
1. 6 org x 9 kec = 54
2. 8 org Pemateri</t>
        </r>
        <r>
          <rPr>
            <sz val="9"/>
            <color indexed="81"/>
            <rFont val="Tahoma"/>
            <family val="2"/>
          </rPr>
          <t xml:space="preserve">
</t>
        </r>
      </text>
    </comment>
    <comment ref="M91" authorId="0">
      <text>
        <r>
          <rPr>
            <b/>
            <sz val="9"/>
            <color indexed="81"/>
            <rFont val="Tahoma"/>
            <family val="2"/>
          </rPr>
          <t>Author:</t>
        </r>
        <r>
          <rPr>
            <sz val="9"/>
            <color indexed="81"/>
            <rFont val="Tahoma"/>
            <family val="2"/>
          </rPr>
          <t xml:space="preserve">
Peserta (27 org)
Dewan Juri (3 org)</t>
        </r>
      </text>
    </comment>
    <comment ref="M100" authorId="0">
      <text>
        <r>
          <rPr>
            <b/>
            <sz val="9"/>
            <color indexed="81"/>
            <rFont val="Tahoma"/>
            <family val="2"/>
          </rPr>
          <t>Makan Minum:
- 54 peserta
- 12 Panitia dan pendukung kegiatan
- 2 pemateri
- 2 Moderator
- 2 Kebersihan</t>
        </r>
      </text>
    </comment>
    <comment ref="M101" authorId="0">
      <text>
        <r>
          <rPr>
            <b/>
            <sz val="9"/>
            <color indexed="81"/>
            <rFont val="Tahoma"/>
            <family val="2"/>
          </rPr>
          <t>Makan Minum:
- 54 peserta
- 12 Panitia dan pendukung kegiatan
- 2 pemateri
- 2 Moderator
- 2 Kebersihan</t>
        </r>
      </text>
    </comment>
    <comment ref="M102" authorId="0">
      <text>
        <r>
          <rPr>
            <b/>
            <sz val="9"/>
            <color indexed="81"/>
            <rFont val="Tahoma"/>
            <family val="2"/>
          </rPr>
          <t>Author:</t>
        </r>
        <r>
          <rPr>
            <sz val="9"/>
            <color indexed="81"/>
            <rFont val="Tahoma"/>
            <family val="2"/>
          </rPr>
          <t xml:space="preserve">
- Peserta (27 org)
- Pendamping (9 org)
- Dewan Juri (3 org)
- Panitia (15 org)
- Tenaga Kebersihan (2 org) 
- Tenaga Operator (1 org)
- MC (1 org)
- Moderator (1 org)</t>
        </r>
      </text>
    </comment>
    <comment ref="M103" authorId="0">
      <text>
        <r>
          <rPr>
            <b/>
            <sz val="9"/>
            <color indexed="81"/>
            <rFont val="Tahoma"/>
            <family val="2"/>
          </rPr>
          <t>Author:</t>
        </r>
        <r>
          <rPr>
            <sz val="9"/>
            <color indexed="81"/>
            <rFont val="Tahoma"/>
            <family val="2"/>
          </rPr>
          <t xml:space="preserve">
sama dengan snack</t>
        </r>
      </text>
    </comment>
    <comment ref="M104" authorId="0">
      <text>
        <r>
          <rPr>
            <b/>
            <sz val="9"/>
            <color indexed="81"/>
            <rFont val="Tahoma"/>
            <family val="2"/>
          </rPr>
          <t>Author:</t>
        </r>
        <r>
          <rPr>
            <sz val="9"/>
            <color indexed="81"/>
            <rFont val="Tahoma"/>
            <family val="2"/>
          </rPr>
          <t xml:space="preserve">
27 orang peserta
9 orang Pendamping
3 orang Dewan Juri
15 orang Panitia
2 orang Tenaga Kebersihan
2 orang Operator
2 orang pembaca soal
2 orang Petugas Papan skor</t>
        </r>
      </text>
    </comment>
    <comment ref="M105" authorId="0">
      <text>
        <r>
          <rPr>
            <b/>
            <sz val="9"/>
            <color indexed="81"/>
            <rFont val="Tahoma"/>
            <family val="2"/>
          </rPr>
          <t>Author:</t>
        </r>
        <r>
          <rPr>
            <sz val="9"/>
            <color indexed="81"/>
            <rFont val="Tahoma"/>
            <family val="2"/>
          </rPr>
          <t xml:space="preserve">
- Peserta (27 org)
- Pendamping (9 org)
- Dewan Juri (3 org)
- Panitia (15 org)
- Tenaga Absensi (2 org)
- Tenaga Kebersihan (2 org) 
- Tenaga Operator (1 org)
- Tenaga Fotografer (1 org)
- MC (1 org)
- Pembaca Alquran + doa (1 org)
- Pembaca Soal (2 org)
- Petugas Papan Skor (1 org)
- Undangan VIP (10 org)
- Undangan Ka. SKPK (45 org)
- Sporter (40 org) 5 org/kec</t>
        </r>
      </text>
    </comment>
  </commentList>
</comments>
</file>

<file path=xl/sharedStrings.xml><?xml version="1.0" encoding="utf-8"?>
<sst xmlns="http://schemas.openxmlformats.org/spreadsheetml/2006/main" count="4818" uniqueCount="1266">
  <si>
    <t>PEMELIHARAAN RUTIN/BERKALA PERALATAN</t>
  </si>
  <si>
    <t>Tunjangan Fungsional</t>
  </si>
  <si>
    <t>Belanja Makanan dan Minuman Pegawai</t>
  </si>
  <si>
    <t>tahun</t>
  </si>
  <si>
    <t>Program Peningkatan Disiplin Aparatur</t>
  </si>
  <si>
    <t>PENINGKATAN DISIPLIN APARATUR</t>
  </si>
  <si>
    <t>PENGADAAN PAKAIAN DINAS BESERTA</t>
  </si>
  <si>
    <t>RENCANA KERJA DAN  ANGGARAN</t>
  </si>
  <si>
    <t>JUMLAH ANGGARAN</t>
  </si>
  <si>
    <t>Pemeliharaan Rutin/Berkala Kendaraan Dinas/Operasional</t>
  </si>
  <si>
    <t>1......................</t>
  </si>
  <si>
    <t>2........................</t>
  </si>
  <si>
    <t>3........................</t>
  </si>
  <si>
    <t>4.......................</t>
  </si>
  <si>
    <t>5.........................</t>
  </si>
  <si>
    <t>1.....................................</t>
  </si>
  <si>
    <t>2.................................</t>
  </si>
  <si>
    <t xml:space="preserve">Tunjangan Jabatan </t>
  </si>
  <si>
    <t>Belanja Pegawai</t>
  </si>
  <si>
    <t>Organisasi    :</t>
  </si>
  <si>
    <t>Kegiatan      :</t>
  </si>
  <si>
    <t>Catatan Hasil Pembahasan :</t>
  </si>
  <si>
    <t>Tanggal Pembahasan        :</t>
  </si>
  <si>
    <t>(RP)</t>
  </si>
  <si>
    <t>6=(3x5)</t>
  </si>
  <si>
    <t>Tim Anggaran Pemerintah Daerah:</t>
  </si>
  <si>
    <t>Satuan</t>
  </si>
  <si>
    <t>Gaji Pokok PNS / Representasi</t>
  </si>
  <si>
    <t>9=6+7+8</t>
  </si>
  <si>
    <t>Target Kinerja (Kuatitatif)</t>
  </si>
  <si>
    <t xml:space="preserve"> 2.2.1</t>
  </si>
  <si>
    <t>RKA - SKPD</t>
  </si>
  <si>
    <t>Program      :</t>
  </si>
  <si>
    <t>KOTA BANDA ACEH</t>
  </si>
  <si>
    <r>
      <t>Harga S</t>
    </r>
    <r>
      <rPr>
        <b/>
        <sz val="9"/>
        <rFont val="Tahoma"/>
        <family val="2"/>
      </rPr>
      <t>atuan</t>
    </r>
  </si>
  <si>
    <t>Kode Rekening</t>
  </si>
  <si>
    <t>Indikator</t>
  </si>
  <si>
    <t xml:space="preserve">Capaian Program </t>
  </si>
  <si>
    <t>Menurut Program dan Per Kegiatan Satuan Kerja Perangkat Daerah</t>
  </si>
  <si>
    <t xml:space="preserve">                                                                                         Jumlah</t>
  </si>
  <si>
    <t>Tambahan Penghasilan Berdasarkan Prestasi Kerja</t>
  </si>
  <si>
    <t>00</t>
  </si>
  <si>
    <t>6...........................</t>
  </si>
  <si>
    <t>KODE</t>
  </si>
  <si>
    <t>NAMA FORMULIR</t>
  </si>
  <si>
    <t>RKA - SKPD 1</t>
  </si>
  <si>
    <t>RKA - SKPD 2.1</t>
  </si>
  <si>
    <t>RKA - SKPD 2.2</t>
  </si>
  <si>
    <t>RKA - SKPD 2.2.1</t>
  </si>
  <si>
    <t>RKA - SKPD 3.1</t>
  </si>
  <si>
    <t>RKA - SKPD 3.2</t>
  </si>
  <si>
    <t>Kerja Perangkat Daerah</t>
  </si>
  <si>
    <t>Rincian Penerimaan Pembiayaan Daerah</t>
  </si>
  <si>
    <t>Rincian Pengeluaran Pembiayaan Daerah</t>
  </si>
  <si>
    <t>Ringkasan Anggaran Pendapatan, Belanja dan Pembiayaan Satuan Kerja Perangkat Daerah</t>
  </si>
  <si>
    <t>Rekapitulasi Rincian Anggaran Belanja Langsung Menurut Program dan Kegiatan Satuan</t>
  </si>
  <si>
    <t xml:space="preserve">Rincian Anggaran Belanja Langsung Menurut Program dan Per Kegiatan Satuan Kerja </t>
  </si>
  <si>
    <t>Perangkat Daerah</t>
  </si>
  <si>
    <t>PEMERINTAH KOTA BANDA ACEH</t>
  </si>
  <si>
    <t>( RKA - SKPD )</t>
  </si>
  <si>
    <t>URUSAN PEMERINTAHAN</t>
  </si>
  <si>
    <t>ORGANISASI</t>
  </si>
  <si>
    <t>Pengguna Anggaran</t>
  </si>
  <si>
    <t>a. Nama</t>
  </si>
  <si>
    <t>b. Nip</t>
  </si>
  <si>
    <t>c. Jabatan</t>
  </si>
  <si>
    <t xml:space="preserve"> </t>
  </si>
  <si>
    <t>Formulir RKA - SKPD</t>
  </si>
  <si>
    <t>Formulir RKA-SKPD</t>
  </si>
  <si>
    <t>LAMPIRAN : 1 RKA-SKPD</t>
  </si>
  <si>
    <t>LAMPIRAN : 2 RKA-SKPD</t>
  </si>
  <si>
    <t>LAMPIRAN : 4 RKA-SKPD</t>
  </si>
  <si>
    <t>LAMPIRAN : 3 RKA-SKPD</t>
  </si>
  <si>
    <t>Daftar Nominatif Pegawai (PNS) Satuan Kerja Perangkat Daerah</t>
  </si>
  <si>
    <t>bln</t>
  </si>
  <si>
    <t>Daftar Nominatif Pegawai Non PNS Satuan Kerja Perangkat Daerah</t>
  </si>
  <si>
    <t>Daftar Rincian Belanja Gaji Dan Tunjangan Pegawai Satuan Kerja Perangkat Daerah</t>
  </si>
  <si>
    <t>Daftar Jumlah Pegawai Per Golongan dan Per Eselon Satuan Kerja Perangkat Daerah</t>
  </si>
  <si>
    <t>PENDAPATAN DAERAH</t>
  </si>
  <si>
    <t>Pendapatan Asli Daerah</t>
  </si>
  <si>
    <t>0 1</t>
  </si>
  <si>
    <t>0 7</t>
  </si>
  <si>
    <t>0 2</t>
  </si>
  <si>
    <t>0 3</t>
  </si>
  <si>
    <t>BELANJA DAERAH</t>
  </si>
  <si>
    <t>Belanja Tidak Langsung</t>
  </si>
  <si>
    <t>BELANJA PEGAWAI</t>
  </si>
  <si>
    <t>Gaji dan Tunjangan</t>
  </si>
  <si>
    <t>Pajak Daerah</t>
  </si>
  <si>
    <t>Retribusi Daerah</t>
  </si>
  <si>
    <t>Hasil Pengelolaan Kekayaaan Daerah</t>
  </si>
  <si>
    <t>Lain-lain PAD</t>
  </si>
  <si>
    <t>Dana Perimbangan</t>
  </si>
  <si>
    <t>Bagi Hasil Pajak/bukan pajak</t>
  </si>
  <si>
    <t>Dana Alokasi Khusus</t>
  </si>
  <si>
    <t>Lain-lain Pendapatan yang Sah</t>
  </si>
  <si>
    <t>Belanja Barang dan Jasa</t>
  </si>
  <si>
    <t>Belanja Modal</t>
  </si>
  <si>
    <t>Belanja Langsung</t>
  </si>
  <si>
    <t>Tunjangan Keluarga</t>
  </si>
  <si>
    <t>Tunjangan Fungsional Umum</t>
  </si>
  <si>
    <t>Tunjangan Beras</t>
  </si>
  <si>
    <t>Tunjangan PPh/Tunjangan Khusus</t>
  </si>
  <si>
    <t>Pembulatan Gaji</t>
  </si>
  <si>
    <t>Tambahan Penghasilan PNS</t>
  </si>
  <si>
    <t>Tambahan Penghasilan Berdasarkan Beban Kerja</t>
  </si>
  <si>
    <t>OB</t>
  </si>
  <si>
    <t>BELANJA TIDAK LANGSUNG</t>
  </si>
  <si>
    <t>BELANJA LANGSUNG</t>
  </si>
  <si>
    <t>Belanja Bahan Pakai Habis</t>
  </si>
  <si>
    <t>jumlah</t>
  </si>
  <si>
    <t>meter</t>
  </si>
  <si>
    <t>Belanja Jasa Kantor</t>
  </si>
  <si>
    <t>lbr</t>
  </si>
  <si>
    <t>rem</t>
  </si>
  <si>
    <t>Belanja Cetak dan Penggandaan</t>
  </si>
  <si>
    <t>unit</t>
  </si>
  <si>
    <t>0 5</t>
  </si>
  <si>
    <t>0 6</t>
  </si>
  <si>
    <t>Jumlah Dana Yang Tersedia</t>
  </si>
  <si>
    <t>BELANJA BARANG DAN JASA</t>
  </si>
  <si>
    <t>Belanja Penggandaan</t>
  </si>
  <si>
    <t>thn</t>
  </si>
  <si>
    <t>Thn</t>
  </si>
  <si>
    <t>Program Pelayanan Administrasi Perkantoran</t>
  </si>
  <si>
    <t>- Binder Klip No 200</t>
  </si>
  <si>
    <t xml:space="preserve">Honorarium PNS </t>
  </si>
  <si>
    <t>Belanja Alat Tulis Kantor</t>
  </si>
  <si>
    <t>bh</t>
  </si>
  <si>
    <t>Belanja Air</t>
  </si>
  <si>
    <t>Belanja Listrik</t>
  </si>
  <si>
    <t>Penyediaan Alat Tulis Kantor</t>
  </si>
  <si>
    <t>Penyediaan Barang Cetakan dan Penggandaan</t>
  </si>
  <si>
    <t>Belanja Cetak</t>
  </si>
  <si>
    <t>Penyediaan Komponen Instalasi Listrik/penerangan Bangunan Kantor</t>
  </si>
  <si>
    <t>Penyediaan Makanan dan Minuman</t>
  </si>
  <si>
    <t>Belanja Perjalanan Dinas</t>
  </si>
  <si>
    <t>Belanja Perawatan Kenderaan Bermotor</t>
  </si>
  <si>
    <t>ob</t>
  </si>
  <si>
    <t xml:space="preserve"> - Honor Pengguna Anggaran = 1 orang</t>
  </si>
  <si>
    <t>Keterangan                       :</t>
  </si>
  <si>
    <t>PENYEDIAAN JASA KOMUNIKASI, SDA &amp; LISTRIK</t>
  </si>
  <si>
    <t>01</t>
  </si>
  <si>
    <t>Honorarium Panitia Pelaksana Kegiatan</t>
  </si>
  <si>
    <t>06</t>
  </si>
  <si>
    <t>02</t>
  </si>
  <si>
    <t>j u m l a h</t>
  </si>
  <si>
    <t>Ob</t>
  </si>
  <si>
    <t>Rem</t>
  </si>
  <si>
    <t>PENYEDIAAN JASA TENAGA PENDUKUNG ADM/</t>
  </si>
  <si>
    <t>TEKNIS PERKANTORAN</t>
  </si>
  <si>
    <t>Banda Aceh</t>
  </si>
  <si>
    <t>Belanja Alat Tulis kantor</t>
  </si>
  <si>
    <t>BELANJA MODAL</t>
  </si>
  <si>
    <t>PENINGKATAN SARANA DAN PRASARANA APARATUR</t>
  </si>
  <si>
    <t>09</t>
  </si>
  <si>
    <t>Peningkatan Sarana dan Prasarana Aparatur</t>
  </si>
  <si>
    <t>Belanja Pengganti Suku Cadang</t>
  </si>
  <si>
    <t>GEDUNG KANTOR</t>
  </si>
  <si>
    <t>Honorarium PNS</t>
  </si>
  <si>
    <t xml:space="preserve">RAPAT-RAPAT KOORDINASI DAN </t>
  </si>
  <si>
    <t>KONSULTASI KELUAR DAERAH</t>
  </si>
  <si>
    <t>Operasional</t>
  </si>
  <si>
    <t>Ktk</t>
  </si>
  <si>
    <t>03</t>
  </si>
  <si>
    <t>PENYEDIAAN JASA KEBERSIHAN KANTOR</t>
  </si>
  <si>
    <t>08</t>
  </si>
  <si>
    <t>kl</t>
  </si>
  <si>
    <t>05</t>
  </si>
  <si>
    <t>Belanja Peralatan Kebersihan dan Bahan Pembersih</t>
  </si>
  <si>
    <t>10</t>
  </si>
  <si>
    <t>PENYEDIAAN ALAT TULIS KANTOR</t>
  </si>
  <si>
    <t>PENYEDIAAN BARANG CETAK DAN PENGGANDAAN</t>
  </si>
  <si>
    <t>PENYEDIAAN KOMPONEN INSTALASI LISTRIK/</t>
  </si>
  <si>
    <t>PENERANGAN BANGUNAN KANTOR</t>
  </si>
  <si>
    <t>PENYEDIAAN MAKANAN DAN MINUMAN</t>
  </si>
  <si>
    <t>Honorarium Non PNS</t>
  </si>
  <si>
    <t>Ok</t>
  </si>
  <si>
    <t>Kelompok Sasaran Kegiatan :  Pengguna Jasa Kantor</t>
  </si>
  <si>
    <t>PELAYANAN ADMINISTRASI PERKANTORAN</t>
  </si>
  <si>
    <t>Belanja Barang Pakai Habis</t>
  </si>
  <si>
    <t>04</t>
  </si>
  <si>
    <t xml:space="preserve">RENCANA KERJA DAN ANGGARAN </t>
  </si>
  <si>
    <t>SATUAN KERJA PERANGKAT DAERAH</t>
  </si>
  <si>
    <t>Urusan Pemerintahan</t>
  </si>
  <si>
    <t>:</t>
  </si>
  <si>
    <t xml:space="preserve">Organisasi </t>
  </si>
  <si>
    <t xml:space="preserve">Ringkasan Anggaran Pendapatan, Belanja dan Pembiayaan </t>
  </si>
  <si>
    <t>Satuan Kerja Perangkat Daerah</t>
  </si>
  <si>
    <t xml:space="preserve">Kode </t>
  </si>
  <si>
    <t xml:space="preserve">Rekening </t>
  </si>
  <si>
    <t>Uraian</t>
  </si>
  <si>
    <t xml:space="preserve">Jumlah </t>
  </si>
  <si>
    <t>(Rp)</t>
  </si>
  <si>
    <t>Surplus/ (Defisit)</t>
  </si>
  <si>
    <t>Pembiayaan neto</t>
  </si>
  <si>
    <t>Rincian Anggaran Pendapatan Satuan Kerja Perangkat Daerah</t>
  </si>
  <si>
    <t>Rekening</t>
  </si>
  <si>
    <t>Rincian Penghitungan</t>
  </si>
  <si>
    <t>Jumlah</t>
  </si>
  <si>
    <t>Volume</t>
  </si>
  <si>
    <t>Keterangan</t>
  </si>
  <si>
    <t>Tanggal Pembahasan</t>
  </si>
  <si>
    <t>Catatan Hasil Pembahasan</t>
  </si>
  <si>
    <t>1.</t>
  </si>
  <si>
    <t>2.</t>
  </si>
  <si>
    <t>Dst</t>
  </si>
  <si>
    <t>No</t>
  </si>
  <si>
    <t>Nama</t>
  </si>
  <si>
    <t>Nip</t>
  </si>
  <si>
    <t>Jabatan</t>
  </si>
  <si>
    <t>Tandatangan</t>
  </si>
  <si>
    <t>RENCANA KERJA DAN ANGGARAN</t>
  </si>
  <si>
    <t xml:space="preserve">RENCANA KERJA DAN ANGGARAN             </t>
  </si>
  <si>
    <t>Rincian Anggaran Belanja Tidak Langsung Satuan Kerja Perangkat Daerah</t>
  </si>
  <si>
    <t>Tahun n</t>
  </si>
  <si>
    <t>Tahun n+1</t>
  </si>
  <si>
    <t>Harga satuan</t>
  </si>
  <si>
    <t>Organisasi</t>
  </si>
  <si>
    <t>Program</t>
  </si>
  <si>
    <t>Kegiatan</t>
  </si>
  <si>
    <t>Lokasi  kegiatan</t>
  </si>
  <si>
    <t>Jumlah Tahun n-1</t>
  </si>
  <si>
    <t>Jumlah Tahun n</t>
  </si>
  <si>
    <t>Jumlah Tahun n+1</t>
  </si>
  <si>
    <t>Indikator &amp; Tolok Ukur Kinerja Belanja Langsung</t>
  </si>
  <si>
    <t>Tolok Ukur Kinerja</t>
  </si>
  <si>
    <t>Target Kinerja</t>
  </si>
  <si>
    <t>Masukan</t>
  </si>
  <si>
    <t>Keluaran</t>
  </si>
  <si>
    <t>Hasil</t>
  </si>
  <si>
    <t xml:space="preserve">Rincian Anggaran Belanja Langsung </t>
  </si>
  <si>
    <t>Rekapitulasi Anggaran Belanja Langsung Berdasarkan Program dan Kegiatan</t>
  </si>
  <si>
    <t>Kode</t>
  </si>
  <si>
    <t>Tahun</t>
  </si>
  <si>
    <t>n+1</t>
  </si>
  <si>
    <t>Barang &amp; Jasa</t>
  </si>
  <si>
    <t>Modal</t>
  </si>
  <si>
    <t>2.2</t>
  </si>
  <si>
    <t>Lokasi Kegiatan</t>
  </si>
  <si>
    <t>Belanja Propaganda dan Dokumentasi</t>
  </si>
  <si>
    <t>UrusanPemerintahan</t>
  </si>
  <si>
    <t xml:space="preserve">Organisasi    </t>
  </si>
  <si>
    <t xml:space="preserve">Program      </t>
  </si>
  <si>
    <t xml:space="preserve">Kegiatan     </t>
  </si>
  <si>
    <t xml:space="preserve">UrusanPemerintahan          </t>
  </si>
  <si>
    <t xml:space="preserve">Program     </t>
  </si>
  <si>
    <t xml:space="preserve">Kegiatan    </t>
  </si>
  <si>
    <t xml:space="preserve">Organisasi  </t>
  </si>
  <si>
    <t xml:space="preserve">UrusanPemerintahan </t>
  </si>
  <si>
    <t xml:space="preserve">Organisasi   </t>
  </si>
  <si>
    <t xml:space="preserve">Kegiatan   </t>
  </si>
  <si>
    <t xml:space="preserve">Program    </t>
  </si>
  <si>
    <t xml:space="preserve">Program   </t>
  </si>
  <si>
    <t>1.25.01.15</t>
  </si>
  <si>
    <t>12 bln</t>
  </si>
  <si>
    <t>OK</t>
  </si>
  <si>
    <t>Jumlah Dana Yang dibutuhkan</t>
  </si>
  <si>
    <t>12 bulan</t>
  </si>
  <si>
    <t>ktk</t>
  </si>
  <si>
    <t>Run on 09/04/2010 10:48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</si>
  <si>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</si>
  <si>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</si>
  <si>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</si>
  <si>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</si>
  <si>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'PAD'!H72:H75</t>
  </si>
  <si>
    <t>Belanja Pemeliharaan</t>
  </si>
  <si>
    <t>Compatibility Report for PRA RKA 2012 (30-3-10).XLS</t>
  </si>
  <si>
    <t>Belanja Iuran</t>
  </si>
  <si>
    <t>Honorarium panitia pelaksana kegiatan</t>
  </si>
  <si>
    <t>1.25.01.15.06</t>
  </si>
  <si>
    <t>Belanja Surat Tanda  Nomor Kenderaan</t>
  </si>
  <si>
    <t>Pemeliharaan rutin/berkala peralatan gedung kantor</t>
  </si>
  <si>
    <t>Belanja Perjalanan Dinas ke Luar Daerah</t>
  </si>
  <si>
    <t>Formulir RKA -   SKPD  2.1</t>
  </si>
  <si>
    <t>Honorarium  PNS</t>
  </si>
  <si>
    <t>- Biaya Air Selama 1 (satu) Tahun</t>
  </si>
  <si>
    <t>Belanja Alat Listrik dan Elektronik</t>
  </si>
  <si>
    <t>Honorarium Tim pengadaan barang dan jasa</t>
  </si>
  <si>
    <t>Honorarium pegawai honorer/tidak tetap</t>
  </si>
  <si>
    <t>PERLENGKAPANNYA</t>
  </si>
  <si>
    <t>Belanja Pakaian Dinas dan atributnya</t>
  </si>
  <si>
    <t>- Kertas HVS</t>
  </si>
  <si>
    <t>Honorarium Tim teknis</t>
  </si>
  <si>
    <t>Honorarium tenaga pendukung kegiatan</t>
  </si>
  <si>
    <t>kali</t>
  </si>
  <si>
    <t>set</t>
  </si>
  <si>
    <t>Jumlah Dana Yang Dibutuhkan</t>
  </si>
  <si>
    <t>Kelompok Sasaran Kegiatan : Tenaga adm/teknis perkantoran non PNS</t>
  </si>
  <si>
    <t>mtr</t>
  </si>
  <si>
    <t>Kelompok Sasaran Kegiatan : Pengguna informasi</t>
  </si>
  <si>
    <t xml:space="preserve"> - Honor Petugas MC</t>
  </si>
  <si>
    <t xml:space="preserve"> - Honor Pembaca Al-Qur'an</t>
  </si>
  <si>
    <t xml:space="preserve"> - Honor Pembaca Doa</t>
  </si>
  <si>
    <t xml:space="preserve"> - Honor Petugas Kebersihan tempat</t>
  </si>
  <si>
    <t>Belanja Makanan dan Minuman</t>
  </si>
  <si>
    <t>Belanja Makanan dan Minuman Kegiatan</t>
  </si>
  <si>
    <t>org</t>
  </si>
  <si>
    <t>13</t>
  </si>
  <si>
    <t>Belanja Hadiah Perlombaan</t>
  </si>
  <si>
    <t>ok</t>
  </si>
  <si>
    <t>Rapat-Rapat Koordinasi dan Konsultasi ke Luar Daerah</t>
  </si>
  <si>
    <t>Kelompok Sasaran Kegiatan :  Peralatan Gedung Kantor</t>
  </si>
  <si>
    <t>Kelompok Sasaran Kegiatan : Pengguna Jasa  informatika</t>
  </si>
  <si>
    <t>PNS</t>
  </si>
  <si>
    <t>Honor</t>
  </si>
  <si>
    <t>Kontrak Adm</t>
  </si>
  <si>
    <t>Kontrak Cleaning Service</t>
  </si>
  <si>
    <t>- Tenaga CS UPTD Terminal</t>
  </si>
  <si>
    <t>Kontrak Supir Bus</t>
  </si>
  <si>
    <t>- Tenaga Maintenance</t>
  </si>
  <si>
    <t>Kontrak Maintenance</t>
  </si>
  <si>
    <t>Kontrak Tenaga Ahli</t>
  </si>
  <si>
    <t>- Tenaga Programmer</t>
  </si>
  <si>
    <t>- Tenaga Jaringan</t>
  </si>
  <si>
    <t>Total</t>
  </si>
  <si>
    <t>- Tenaga STTD untuk PKB</t>
  </si>
  <si>
    <t>Kontrak STTD</t>
  </si>
  <si>
    <t>- Tenaga STTD untuk Bidang Darat</t>
  </si>
  <si>
    <t>- Tenaga STTD untuk pelabuhan</t>
  </si>
  <si>
    <t>Kontrak Tenaga Korespondensi</t>
  </si>
  <si>
    <t>- Tenaga korespondensi bid. Komtel</t>
  </si>
  <si>
    <t>Kontrak tenaga lapangan</t>
  </si>
  <si>
    <t>- Tenaga lapangan/dalops</t>
  </si>
  <si>
    <t>Kontrak Tahun 2014</t>
  </si>
  <si>
    <t>Rincian Tenaga Kontrak tahun 2014</t>
  </si>
  <si>
    <t>musrenbang</t>
  </si>
  <si>
    <t>Belanja Pemeliharaan Peralatan dan Perlengkapan Kantor</t>
  </si>
  <si>
    <t>/bulan</t>
  </si>
  <si>
    <t>Pemeliharaan Rutin/Berkala Kendaraan Dinas/</t>
  </si>
  <si>
    <t>selisih</t>
  </si>
  <si>
    <t>Kontrak  Penjaga kantor</t>
  </si>
  <si>
    <t>-  Penjaga UPTD Terminal</t>
  </si>
  <si>
    <t>- Tenaga Elektrikal di pelabuhan</t>
  </si>
  <si>
    <t>- Tenaga Asisten Programmer</t>
  </si>
  <si>
    <t>- Tenaga Asisten Jaringan</t>
  </si>
  <si>
    <t>Kontrak Teknis STTD</t>
  </si>
  <si>
    <t>- Tenaga lapangan/dalops LLAJ</t>
  </si>
  <si>
    <t>Kontrak  Teknis Elektro</t>
  </si>
  <si>
    <t xml:space="preserve"> - Tenaga Elektro Traffic light</t>
  </si>
  <si>
    <t>-  Penjaga di kantor</t>
  </si>
  <si>
    <t>-  Penjaga UPTD PKB</t>
  </si>
  <si>
    <t>Honorer</t>
  </si>
  <si>
    <t xml:space="preserve">- Tenaga Korespondensi 1 org </t>
  </si>
  <si>
    <t xml:space="preserve"> - Ketua 1 org x 3 bln</t>
  </si>
  <si>
    <t>- peserta</t>
  </si>
  <si>
    <t>- dewan juri</t>
  </si>
  <si>
    <t>- panitia</t>
  </si>
  <si>
    <t>eks</t>
  </si>
  <si>
    <t>Belanja Pakaian Khusus Hari-hari Tertentu</t>
  </si>
  <si>
    <t>LLAJ</t>
  </si>
  <si>
    <t>llasdp</t>
  </si>
  <si>
    <t>standar</t>
  </si>
  <si>
    <t>pagu</t>
  </si>
  <si>
    <t xml:space="preserve"> - Sekretaris 1 orang x 3 bulan</t>
  </si>
  <si>
    <t xml:space="preserve"> - Anggota Gol III 5 org x 3 bulan</t>
  </si>
  <si>
    <t>- Pulpen</t>
  </si>
  <si>
    <t>- Spidol white board</t>
  </si>
  <si>
    <t>Kelompok Sasaran Kegiatan : Kelompok informasi gampong</t>
  </si>
  <si>
    <t>real /bln</t>
  </si>
  <si>
    <t xml:space="preserve"> - OTSUS</t>
  </si>
  <si>
    <t xml:space="preserve"> - APBK</t>
  </si>
  <si>
    <t>Rp</t>
  </si>
  <si>
    <t>Belanja kawat/ Internet</t>
  </si>
  <si>
    <t xml:space="preserve">- Biaya Iuran Izin Frekwensi HT  </t>
  </si>
  <si>
    <t>pns</t>
  </si>
  <si>
    <t>tali pinggng</t>
  </si>
  <si>
    <t>topi/jlbab</t>
  </si>
  <si>
    <t>jukir</t>
  </si>
  <si>
    <t>pns+non pns</t>
  </si>
  <si>
    <t>jukir+nonpns</t>
  </si>
  <si>
    <t>rompi jukir tidak diberikan thn 2016 disuruh pakai yang lama</t>
  </si>
  <si>
    <t>Perencanaan dan Pengembangan Kebijakan Komunikasi dan Informasi</t>
  </si>
  <si>
    <t>Belanja Jasa tenaga ahli/instruktur/narasumber</t>
  </si>
  <si>
    <t>meugang</t>
  </si>
  <si>
    <t xml:space="preserve">honor lap </t>
  </si>
  <si>
    <t>Stm mesin tenaga perawatan</t>
  </si>
  <si>
    <t>korespondensi + fogrfer</t>
  </si>
  <si>
    <t>D3 maritim + umum</t>
  </si>
  <si>
    <t>securiti/cs</t>
  </si>
  <si>
    <t>D4 / D3 operator  CC room/atcs</t>
  </si>
  <si>
    <t>IT asisten jaringan/progrmer</t>
  </si>
  <si>
    <t>IT sistem analis</t>
  </si>
  <si>
    <t>total tambhn</t>
  </si>
  <si>
    <t>Pengawas parkir</t>
  </si>
  <si>
    <t>Petugas CC room/atcs</t>
  </si>
  <si>
    <t>IT analis</t>
  </si>
  <si>
    <t>Total non PNS</t>
  </si>
  <si>
    <t>RESES</t>
  </si>
  <si>
    <t>mkn</t>
  </si>
  <si>
    <t>hnr</t>
  </si>
  <si>
    <t>mbl</t>
  </si>
  <si>
    <t>Selisih</t>
  </si>
  <si>
    <t>belum masuk media center</t>
  </si>
  <si>
    <t>Kontrak Tenaga Ahli IT</t>
  </si>
  <si>
    <t>Tambah Kontrak 2016</t>
  </si>
  <si>
    <t>tenaga perawatan eletrikal</t>
  </si>
  <si>
    <t>korespondensi + fotografer</t>
  </si>
  <si>
    <t>Dalops LLAJ</t>
  </si>
  <si>
    <t>Rincian Non PNS</t>
  </si>
  <si>
    <t>Total 2015</t>
  </si>
  <si>
    <t>S1</t>
  </si>
  <si>
    <t>S1/d3</t>
  </si>
  <si>
    <t>D3</t>
  </si>
  <si>
    <t>SMA</t>
  </si>
  <si>
    <t>Kontrak</t>
  </si>
  <si>
    <t>parkir kwasan</t>
  </si>
  <si>
    <t>cleaning service</t>
  </si>
  <si>
    <t>stmelektro</t>
  </si>
  <si>
    <t>Asisten Jaringan IT</t>
  </si>
  <si>
    <t>Asisten programer IT</t>
  </si>
  <si>
    <t>perlengkapan pdh</t>
  </si>
  <si>
    <t>BTL</t>
  </si>
  <si>
    <t>BL</t>
  </si>
  <si>
    <t>total peg</t>
  </si>
  <si>
    <t>DAK</t>
  </si>
  <si>
    <t>OTSUS</t>
  </si>
  <si>
    <t>APBK</t>
  </si>
  <si>
    <t>rencn psi</t>
  </si>
  <si>
    <t>rencn darat</t>
  </si>
  <si>
    <t>* Publikasi Media luar ruang :</t>
  </si>
  <si>
    <t>* Kerja sama dengan media massa :</t>
  </si>
  <si>
    <t>Belanja Modal Pengadaan Komputer</t>
  </si>
  <si>
    <t>m</t>
  </si>
  <si>
    <t xml:space="preserve">  </t>
  </si>
  <si>
    <t>Pengadaan Peralatan Gedung Kantor</t>
  </si>
  <si>
    <t>Belanja Modal Pengadaan Komputer/PC</t>
  </si>
  <si>
    <t>Belanja jasa  tenaga ahli/instruktur/narasumber</t>
  </si>
  <si>
    <t>- cetak sertifikat</t>
  </si>
  <si>
    <t>lembar</t>
  </si>
  <si>
    <t>Kegiatan Penyebarluasan Informasi yang bersifat Penyuluhan bagi masyarakat</t>
  </si>
  <si>
    <t>Belanja Jasa Tenaga Ahli / Instruktur/narasumber</t>
  </si>
  <si>
    <t>Kontrak harian lepas</t>
  </si>
  <si>
    <t>DAK IP</t>
  </si>
  <si>
    <t>apbk</t>
  </si>
  <si>
    <t>1.25.     KOMUNIKASI DAN INFORMATIKA</t>
  </si>
  <si>
    <t>: 1.25</t>
  </si>
  <si>
    <t>KOMUNIKASI DAN INFORMATIKA</t>
  </si>
  <si>
    <t>: 1.25.01</t>
  </si>
  <si>
    <t>: 1.25.     KOMUNIKASI DAN INFORMATIKA</t>
  </si>
  <si>
    <t>25</t>
  </si>
  <si>
    <t>1.25.01</t>
  </si>
  <si>
    <t>1.25</t>
  </si>
  <si>
    <t>1.25.01.01</t>
  </si>
  <si>
    <t>1.25.01.01.02</t>
  </si>
  <si>
    <t>1.25.01.01.08</t>
  </si>
  <si>
    <t>1.25.01.01.10</t>
  </si>
  <si>
    <t>1.25.01.01.11</t>
  </si>
  <si>
    <t>1.25.01.01.12</t>
  </si>
  <si>
    <t>1.25.01.01.17</t>
  </si>
  <si>
    <t>1.25.01.01.18</t>
  </si>
  <si>
    <t xml:space="preserve">UrusanPemerintahan :             </t>
  </si>
  <si>
    <t>1.25.01.01.20</t>
  </si>
  <si>
    <t xml:space="preserve">UrusanPemerintahan:                 </t>
  </si>
  <si>
    <t>1.25.01.02</t>
  </si>
  <si>
    <t>1.25.01.02.24</t>
  </si>
  <si>
    <t>1.25.01.02.28</t>
  </si>
  <si>
    <t>1.25.01.03</t>
  </si>
  <si>
    <t>1.25.01.03.02</t>
  </si>
  <si>
    <t>1.25.01.18</t>
  </si>
  <si>
    <t>1.25.01.18.01</t>
  </si>
  <si>
    <t>1.25.01.18.02</t>
  </si>
  <si>
    <t>1.25.01.18.03</t>
  </si>
  <si>
    <t>- Biaya Listrik Kantor</t>
  </si>
  <si>
    <t>Pengadaan Peralatan Gedung kantor</t>
  </si>
  <si>
    <t>1.25.01.02.09</t>
  </si>
  <si>
    <t>DINAS KOMUNIKASI, INFORMASI dan STATISTIKA</t>
  </si>
  <si>
    <t>: 1.25.01. DINAS KOMUNIKASI, INFORMASI dan STATISTIKA</t>
  </si>
  <si>
    <t>DINAS  KOMUNIKASI, INFORMASI  DAN STATISTIKA</t>
  </si>
  <si>
    <t>BL Terdiri dari Anggaran :</t>
  </si>
  <si>
    <t>- Biaya langganan internet speedy</t>
  </si>
  <si>
    <t>Belanja Surat kabar</t>
  </si>
  <si>
    <t xml:space="preserve"> - belanja langganan surat kabar (2 eks x 12 bln)</t>
  </si>
  <si>
    <t>- Penanggungjawab 1 org x 6 bln</t>
  </si>
  <si>
    <t>- Koordinator 1 org x 6 bln</t>
  </si>
  <si>
    <t>Ir. Syukri, M.Sc</t>
  </si>
  <si>
    <t>Pembina Utama Muda/Nip. 195912311990031025</t>
  </si>
  <si>
    <t>1.25.01.  DINAS KOMUNIKASI, INFORMATIKA DAN</t>
  </si>
  <si>
    <t xml:space="preserve">               STATISTIK</t>
  </si>
  <si>
    <t>Iuran Jaminan Kecelakaan Kerja</t>
  </si>
  <si>
    <t>Iuran Jaminan Kematian</t>
  </si>
  <si>
    <t>Honorarium non PNS</t>
  </si>
  <si>
    <t>- Laptop</t>
  </si>
  <si>
    <t>- anggota 13 org x 6 bln</t>
  </si>
  <si>
    <t>Belanja Pakaian Dinas Harian</t>
  </si>
  <si>
    <t>- Pengadaan Pakaian Dinas Harian</t>
  </si>
  <si>
    <t xml:space="preserve">Program Kerja Sama Informasi dan Media Masa </t>
  </si>
  <si>
    <t>7..........................</t>
  </si>
  <si>
    <t>3..................................</t>
  </si>
  <si>
    <t>4....................................</t>
  </si>
  <si>
    <t>7.....................................</t>
  </si>
  <si>
    <t>6...........................................</t>
  </si>
  <si>
    <t>5..........................................</t>
  </si>
  <si>
    <t>REKAP RENCANA KERJA DAN ANGGARAN  (RKA) 2018</t>
  </si>
  <si>
    <t>- Kerta - HVS F4 70 gram</t>
  </si>
  <si>
    <t>pcs</t>
  </si>
  <si>
    <t>pak</t>
  </si>
  <si>
    <t>1.23.01.15</t>
  </si>
  <si>
    <t>23</t>
  </si>
  <si>
    <t>UrusanPemerintahan :            1.07                                                            PERHUBUNGAN</t>
  </si>
  <si>
    <t>DINAS KOMUNIKASI, INFORMATIKA DAN STATISTIK</t>
  </si>
  <si>
    <t xml:space="preserve">- Sertifikat SSL </t>
  </si>
  <si>
    <t>- Biaya Pemeliharaan Jaringan Interkoneksi SKPK (Radio dan FO)</t>
  </si>
  <si>
    <t>- Biaya Pemeliharaan Jaringan CCTV (kamera pemantau keramaian)</t>
  </si>
  <si>
    <t>Belanja Kursus, Pelatihan, Sosialisasi dan Bimbingan Teknis Non PNS</t>
  </si>
  <si>
    <t>- Biaya kontribusi pelatihan/sertifikasi TIK</t>
  </si>
  <si>
    <t>Kelompok Sasaran Kegiatan : Mahasiswa di Kota Banda Aceh</t>
  </si>
  <si>
    <t>Penyediaan Jasa Komunikasi, SDA dan Listrik</t>
  </si>
  <si>
    <t>Penyediaan Jasa Kebersihan Kantor</t>
  </si>
  <si>
    <t>3.</t>
  </si>
  <si>
    <t>4.</t>
  </si>
  <si>
    <t>5.</t>
  </si>
  <si>
    <t>6.</t>
  </si>
  <si>
    <t>7.</t>
  </si>
  <si>
    <t>8.</t>
  </si>
  <si>
    <t>Penyediaan Barang Cetak dan Penggandaan</t>
  </si>
  <si>
    <t>Penyediaan Komponen Instalasi Listrik /Penerangan  Bangunan Kantor</t>
  </si>
  <si>
    <t>Rapat-rapat Koordinasi dan Konsultasi Keluar Daerah</t>
  </si>
  <si>
    <t>Penyediaan Jasa Tenaga Pendukung Administrasi / teknis perkantoran</t>
  </si>
  <si>
    <t>Pemeliharaan Rutin/berkala Kendaraan Dinas / Operasional</t>
  </si>
  <si>
    <t>Pemeliharaan Rutin/Berkala Peralatan Gedung Kantor</t>
  </si>
  <si>
    <t>Pelayanan Administrasi Perkantoran</t>
  </si>
  <si>
    <t>Peningkatan Disiplin Aparatur</t>
  </si>
  <si>
    <t>Pengembangan data/informasi/statistik daerah</t>
  </si>
  <si>
    <t>Pengembangan komunikasi, informasi dan  Media massa</t>
  </si>
  <si>
    <t>Kerjasama informasi dan media masa</t>
  </si>
  <si>
    <t>Pengadaan Pakaian Dinas beserta Perlengkapannya</t>
  </si>
  <si>
    <t>Pengkajian  &amp; Pengembangan Sistem Informasi</t>
  </si>
  <si>
    <t>Penyebarluasan Informasi Pembangunan Daerah</t>
  </si>
  <si>
    <t>Penyebarluasan Informasi Penyelenggaraan Pemerintahan Daerah</t>
  </si>
  <si>
    <t>Penyebarluasan Informasi yang bersifat penyuluhan bagi masyarakat</t>
  </si>
  <si>
    <t xml:space="preserve">- Jasa liputan Berita TV </t>
  </si>
  <si>
    <t>- Spidol permanent</t>
  </si>
  <si>
    <t>peg bln 4</t>
  </si>
  <si>
    <t>Pagu 2018 kominfo</t>
  </si>
  <si>
    <t>Kelompok Sasaran Kegiatan : Ruangan dan lingkungan kantor diskominfotik</t>
  </si>
  <si>
    <t>Kelompok Sasaran Kegiatan : Pengguna jasa kantor Diskominfotik</t>
  </si>
  <si>
    <t>Kelompok Sasaran Kegiatan : Kantor diskominfotik</t>
  </si>
  <si>
    <t>Kelompok Sasaran Kegiatan : Kantor Diskominfotik</t>
  </si>
  <si>
    <t>Kelompok Sasaran Kegiatan : Pegawai pada Diskominfotik</t>
  </si>
  <si>
    <t>Kelompok Sasaran Kegiatan : Kenderaan Dinas Kantor Diskominfotik Banda Aceh</t>
  </si>
  <si>
    <t>Kelompok Sasaran Kegiatan : SKPK</t>
  </si>
  <si>
    <t>Honorarium tim teknis</t>
  </si>
  <si>
    <t xml:space="preserve"> - Foto copy kegiatan</t>
  </si>
  <si>
    <t>Belanja makanan dan minuman</t>
  </si>
  <si>
    <t>Pagu 2017</t>
  </si>
  <si>
    <t>Pagu  indikatif 2018</t>
  </si>
  <si>
    <t>pagu awal 2017</t>
  </si>
  <si>
    <t>Pagu+reses 2017</t>
  </si>
  <si>
    <t>masih dibayar dinas perhubungan tahun 2017</t>
  </si>
  <si>
    <t>Set</t>
  </si>
  <si>
    <t>Belanja Pemeliharaan Peralatan dan Perlengkapan Komunikasi</t>
  </si>
  <si>
    <t>- Pengarah 2 org x 6 bln</t>
  </si>
  <si>
    <t>buku</t>
  </si>
  <si>
    <t>Dana Alokasi Umum</t>
  </si>
  <si>
    <t>Kelompok Sasaran Kegiatan : Wartawan Pemula</t>
  </si>
  <si>
    <t>- pembuatan laporan</t>
  </si>
  <si>
    <t>1.25.01.17</t>
  </si>
  <si>
    <t xml:space="preserve">Program Fasilitas Peningkatan SDM Bidang Komunikasi dan Informasi </t>
  </si>
  <si>
    <t>Pelatihan SDM dalam Bidang Komunikasi dan Informasi</t>
  </si>
  <si>
    <t>1.25.01.17.01</t>
  </si>
  <si>
    <t>Program pengembangan komunikasi, informasi dan Media Massa</t>
  </si>
  <si>
    <t>1.25.01.15.07</t>
  </si>
  <si>
    <t>Kegiatan Perencanaan dan Pengembangan kebijakan komunikasi dan Informasi</t>
  </si>
  <si>
    <t>1.25.01.15.02</t>
  </si>
  <si>
    <t>Kegiatan Pembinaan dan Pengembangan Jaringan Komunikasi dan Informasi</t>
  </si>
  <si>
    <t>1.25.01.15.03</t>
  </si>
  <si>
    <t>Kegiatan Pembinaan dan Pengembangan Sumber Daya Komunikasi dan Informasi</t>
  </si>
  <si>
    <t>Pembinaan dan Pengembangan Jaringan Komunikasi dan Informasi</t>
  </si>
  <si>
    <t>Pembinaan  dan Pengembangan Sumber daya Komunikasi dan Informasi</t>
  </si>
  <si>
    <t>Peningkatan SDM Bidang Komunikasi dan Informasi</t>
  </si>
  <si>
    <t>Prog. Pengembangan Data/Informasi/Statistik Daerah</t>
  </si>
  <si>
    <t>07</t>
  </si>
  <si>
    <t>- Klip / Trigonal klip no. 330</t>
  </si>
  <si>
    <t xml:space="preserve"> - anak penjilid no. 10</t>
  </si>
  <si>
    <t>OJ</t>
  </si>
  <si>
    <t>Belanja Jasa Peningkatan dan Pemeliharaan Software</t>
  </si>
  <si>
    <t>- Kertas</t>
  </si>
  <si>
    <t>rim</t>
  </si>
  <si>
    <t>- Cartridge</t>
  </si>
  <si>
    <t>buah</t>
  </si>
  <si>
    <t xml:space="preserve">- Spidol White board </t>
  </si>
  <si>
    <t>kotak</t>
  </si>
  <si>
    <t>Belanja Modal Pengadaan Komputer Note Book</t>
  </si>
  <si>
    <t>1.23.01.15.02</t>
  </si>
  <si>
    <t>Pengolahan,Updating dan analisis data dan Statistik daerah</t>
  </si>
  <si>
    <t>Kegiatan Pengolahan,Updating dan analisis data dan Statistik daerah</t>
  </si>
  <si>
    <t>Belanja Jasa Tenaga Ahli/Instruktur/Narasumber</t>
  </si>
  <si>
    <t xml:space="preserve">Belanja Cetak  </t>
  </si>
  <si>
    <t>Kegiatan Penyebarluasan Informasi Penyelenggaraan Pemerintah Daerah</t>
  </si>
  <si>
    <t>KERJASAMA INFORMASI DAN MEDIA MASA</t>
  </si>
  <si>
    <t>Penyebarluasan Informasi penyelenggaraan pemerintah daerah</t>
  </si>
  <si>
    <t>11</t>
  </si>
  <si>
    <t>12</t>
  </si>
  <si>
    <t>17</t>
  </si>
  <si>
    <t>18</t>
  </si>
  <si>
    <t>20</t>
  </si>
  <si>
    <t>24</t>
  </si>
  <si>
    <t>28</t>
  </si>
  <si>
    <t>15</t>
  </si>
  <si>
    <t>Pengolahan, Updating dan Analisis data dan Statistik Daerah</t>
  </si>
  <si>
    <t>- Penjaga Kantor 1 org x 12 bln</t>
  </si>
  <si>
    <t>Iuran Asuransi Kesehatan</t>
  </si>
  <si>
    <t>- Spidol Boardmarker</t>
  </si>
  <si>
    <t>Pcs</t>
  </si>
  <si>
    <t>:  Bustami, SH</t>
  </si>
  <si>
    <t>:  19630824 198703 1 004</t>
  </si>
  <si>
    <t>Bustami, SH</t>
  </si>
  <si>
    <t>:  Kepala Dinas Komunikasi, Informatika dan Statistik Kota Banda Aceh</t>
  </si>
  <si>
    <t>PENGEMBANGAN KOMUNIKASI, INFORMASI DAN</t>
  </si>
  <si>
    <t>MEDIA MASSA</t>
  </si>
  <si>
    <t>PENGKAJIAN DAN PENGEMBANGAN SISTEM</t>
  </si>
  <si>
    <t>INFORMASI</t>
  </si>
  <si>
    <t>Honorarium Tim Teknis</t>
  </si>
  <si>
    <t>- Biaya pengadaan Lisensi C Panel + Softaculous</t>
  </si>
  <si>
    <t>Belanja Jasa Tenaga Ahli/instruktur/narasumber</t>
  </si>
  <si>
    <t>- Honorarium Narasumber pertemuan/sarasehan TIK (2 orang x 3 jam x 2 keg)</t>
  </si>
  <si>
    <t>- Makan kegiatan pertemuan/sarasehan TIK (50 bks x 2 keg)</t>
  </si>
  <si>
    <t>bks</t>
  </si>
  <si>
    <t>- Snack kegiatan pertemuan/sarasehan TIK (50 ktk x 2 kali x 2 keg)</t>
  </si>
  <si>
    <t>- Biaya Pemeliharaan BTS/Tower</t>
  </si>
  <si>
    <t>- Kerjasama dengan stasion Radio ( Traffic Update ) 10 Radio x 12 bulan</t>
  </si>
  <si>
    <t>T.A 2018 Rp. 2 jt/radio</t>
  </si>
  <si>
    <t xml:space="preserve">PPID Pembantu </t>
  </si>
  <si>
    <t>0rang</t>
  </si>
  <si>
    <t>Operator PPID</t>
  </si>
  <si>
    <t>Modertator</t>
  </si>
  <si>
    <t xml:space="preserve">Notulen </t>
  </si>
  <si>
    <t xml:space="preserve">Panitia </t>
  </si>
  <si>
    <t>Petugas Kebersiahan</t>
  </si>
  <si>
    <t xml:space="preserve">orang </t>
  </si>
  <si>
    <t xml:space="preserve">jumlah </t>
  </si>
  <si>
    <t xml:space="preserve">PRA RENCANA KERJA DAN ANGGARAN </t>
  </si>
  <si>
    <t>6 kali</t>
  </si>
  <si>
    <t>pemateri</t>
  </si>
  <si>
    <t>mc</t>
  </si>
  <si>
    <t>per bulan</t>
  </si>
  <si>
    <t>Program Pengkajian dan Penelitian Bidang Komunikasi dan Informasi</t>
  </si>
  <si>
    <t>Kegiatan Pengkajian dan Penelitian Bidang Informasi dan Komunikasi.</t>
  </si>
  <si>
    <t>1.25.01.16</t>
  </si>
  <si>
    <t>1.25.01.16.01</t>
  </si>
  <si>
    <t>16</t>
  </si>
  <si>
    <t>Pengkajian dan Penelitian Bidang Komunikasi dan Informasi</t>
  </si>
  <si>
    <t xml:space="preserve">- Foto copy </t>
  </si>
  <si>
    <t>Belanja makan dan minum kegiatan</t>
  </si>
  <si>
    <t>Belanja Alat Tulis Kantor (kegiatan lomba)</t>
  </si>
  <si>
    <t>- Foto copy bahan/modul</t>
  </si>
  <si>
    <t>Tim pengawasan  Warnet</t>
  </si>
  <si>
    <t>- Petugas pengawasan warnet 4 org x 10 kali</t>
  </si>
  <si>
    <t>Belanja Pakaian kontingen</t>
  </si>
  <si>
    <t>- Hadiah Juara III</t>
  </si>
  <si>
    <t>- Hadiah Juara II</t>
  </si>
  <si>
    <t>- Hadiah juara I</t>
  </si>
  <si>
    <t>- Honor Petugas Kebersihan tempat</t>
  </si>
  <si>
    <t>- Honor Pembaca Doa</t>
  </si>
  <si>
    <t>- Honor Pembaca Al-Qur'an</t>
  </si>
  <si>
    <t>- Honor Petugas MC</t>
  </si>
  <si>
    <t>- Ketua 1 org x 3 bln</t>
  </si>
  <si>
    <t>- Honorarium narasumber 2 org x 1 kali x 4 jam</t>
  </si>
  <si>
    <t>- kertas hvs</t>
  </si>
  <si>
    <t>- Map plastik</t>
  </si>
  <si>
    <t>- amplop</t>
  </si>
  <si>
    <t>- Foto copy bahan PPID</t>
  </si>
  <si>
    <t>- anak penjilid no. 10</t>
  </si>
  <si>
    <t>- Alat penjilid kecil no. 10</t>
  </si>
  <si>
    <t>PENYEBARLUASAN INFORMASI PEMBANGUNAN DAERAH</t>
  </si>
  <si>
    <t>- HVS F4 70 gram</t>
  </si>
  <si>
    <t>Perbulan</t>
  </si>
  <si>
    <t>liter</t>
  </si>
  <si>
    <t>- BBM roda 4 M-Pustika B 3543 POV = 1 kendaraan x 6 liter x 12 bulan x 26 hari</t>
  </si>
  <si>
    <t>- BBM Mesin Genset</t>
  </si>
  <si>
    <t>- Belanja Surat tanda kendaraan bermotor untuk kendaraan BL 243 AH, B 3543 PQV, BL 175 J (roda 4)</t>
  </si>
  <si>
    <t xml:space="preserve">1.25.01 </t>
  </si>
  <si>
    <t>- Belanja Balik Nama untuk kendaraan B 3543 PQV (roda 4)</t>
  </si>
  <si>
    <t>- Penanggungjawab (1 org x 6 bln)</t>
  </si>
  <si>
    <t>- Ketua (1 org x 6 bln)</t>
  </si>
  <si>
    <t>- Sekretaris (1 org x 6 bln)</t>
  </si>
  <si>
    <t>- Pengarah (1 org x 6 bln)</t>
  </si>
  <si>
    <t>- Penanggung Jawab (1 org x 6 bln)</t>
  </si>
  <si>
    <t>- Koordinator (1 org x 6 bln)</t>
  </si>
  <si>
    <t>Jumlah waktu jasa komunikasi, SDA, dan Listrik yang disediakan</t>
  </si>
  <si>
    <t>Jumlah waktu jasa kebersihan kantor yang disediakan</t>
  </si>
  <si>
    <t>Jumlah jenis alat tulis kantor yang disediakan</t>
  </si>
  <si>
    <t>Jumlah jenis cetak dan penggandaan yang disediakan</t>
  </si>
  <si>
    <t>Jumlah jenis komponen instalasi listrik/penerangan bangunan kantor yang disediakan</t>
  </si>
  <si>
    <t>6 jenis</t>
  </si>
  <si>
    <t>Jumlah laporan rapat koordinasi dan konsultasi ke luar daerah yang dilaksanakan</t>
  </si>
  <si>
    <t>Jumlah waktu jasa tenaga pendukung administrasi/teknis perkantoran yang disediakan</t>
  </si>
  <si>
    <t>Jumlah jenis peralatan gedung kantor yang disediakan</t>
  </si>
  <si>
    <t>Jumlah pakaian dinas beserta perlengkapannya yang disediakan</t>
  </si>
  <si>
    <t>1 dok</t>
  </si>
  <si>
    <t>1 keg</t>
  </si>
  <si>
    <t>Jumlah sarana dan prasarana informatika yang tersedia</t>
  </si>
  <si>
    <t>8 unit</t>
  </si>
  <si>
    <t xml:space="preserve"> Jumlah SDM yang telah dilatih dalam bidang Komunikasi dan Informasi</t>
  </si>
  <si>
    <t>Jumlah kegiatan infprmasi pemerintah yang disampaikan kepada masyarakat</t>
  </si>
  <si>
    <t>5 keg</t>
  </si>
  <si>
    <t>Jumlah pembinaan terhadap kelompok informasi gampong yang dilaksanakan</t>
  </si>
  <si>
    <t>Jumlah penyuluhan KIG yang dilaksanakan</t>
  </si>
  <si>
    <t>Persentase jasa komunikasi, sumber daya air dan listrik yang disediakan</t>
  </si>
  <si>
    <t>Tingkat pelayanan administrasi perkantoran yang maksimal</t>
  </si>
  <si>
    <t>Persentase jasa kebersihan kantor yang disediakan</t>
  </si>
  <si>
    <t>Persentase alat tulis kantor yang disediakan</t>
  </si>
  <si>
    <t>Persentase cetak dan penggandaan yang disediakan</t>
  </si>
  <si>
    <t>Persentase komponen instalasi listrik/penerangan bangunan kantor yang disediakan</t>
  </si>
  <si>
    <t>Persentase makanan dan minuman yang disediakan</t>
  </si>
  <si>
    <t>Jumlah porsi makanan dan minuman yang disediakan</t>
  </si>
  <si>
    <t>Persentase rapat koordinasi dan konsultasi ke luar daerah yang dilaksanakan</t>
  </si>
  <si>
    <t>Persentase jasa tenaga pendukung administrasi/teknis perkantoran yang disediakan</t>
  </si>
  <si>
    <t>Persentase peralatan gedung kantor yang disediakan</t>
  </si>
  <si>
    <t>Tingkat ketersediaan sarana dan prasarana</t>
  </si>
  <si>
    <t>Persentase kendaraan dinas/operasional yang dipelihara</t>
  </si>
  <si>
    <t>Jumlah pemeliharaan kendaraan Dinas/ Operasional yang dilaksanakan</t>
  </si>
  <si>
    <t>48 kali</t>
  </si>
  <si>
    <t>Persentase peralatan gedung kantor yang dipelihara</t>
  </si>
  <si>
    <t>Jumlah pemeliharaan peralatan gedung kantor yang dilaksanakan</t>
  </si>
  <si>
    <t>20 kali</t>
  </si>
  <si>
    <t>Persentase pakaian dinas beserta perlengkapan yang disediakan</t>
  </si>
  <si>
    <t>30 org</t>
  </si>
  <si>
    <t xml:space="preserve"> - Makan kegiatan 2 kali x 40 ktk</t>
  </si>
  <si>
    <t xml:space="preserve"> - Snack kegiatan 2 hari x 2 kali x 40 ktk</t>
  </si>
  <si>
    <t>Kelompok Sasaran Kegiatan : SKPD Kota Banda Aceh</t>
  </si>
  <si>
    <t>2.904 porsi</t>
  </si>
  <si>
    <t>20 lap</t>
  </si>
  <si>
    <t>Jumlah pembinaan warnet yang dilaksanakan</t>
  </si>
  <si>
    <t>42 kali</t>
  </si>
  <si>
    <t xml:space="preserve">Jumlah sumber daya komunikasi dan informasi yang dibina dan dikembangkan  </t>
  </si>
  <si>
    <t>Jumlah kegiatan Perencanaan komunikasi dan informatika yang dilakukan</t>
  </si>
  <si>
    <t>Jumlah kegiatan penelitian penyusunan data base informasi dan komunikasi yang dilakukan</t>
  </si>
  <si>
    <t xml:space="preserve">Tingkat Keseragaman Pakaian dinas aparatur </t>
  </si>
  <si>
    <t xml:space="preserve">   Belanja iuran</t>
  </si>
  <si>
    <t xml:space="preserve">   Batu bateray besar</t>
  </si>
  <si>
    <t xml:space="preserve">   Batu bateray sedang</t>
  </si>
  <si>
    <t>porsi</t>
  </si>
  <si>
    <t>- Pejabat Pengadaan Barang/Jasa Pemerintah - Nilai pagu dana &lt; Rp. 10 milyar (jumlah 1 s/d 20 paket) (6)</t>
  </si>
  <si>
    <t>- Pejabat Penerima Hasil Pekerjaan - - (6)</t>
  </si>
  <si>
    <t>Belanja bahan bakar minyak/gas dan pelumas</t>
  </si>
  <si>
    <t>- BBM roda 2 BL 2336 AN = 1 kendaraan x 2 liter x 12 bulan x 22hari</t>
  </si>
  <si>
    <t xml:space="preserve">   Batu bateray kecil</t>
  </si>
  <si>
    <t xml:space="preserve">   Cetak Blangko SPM NCR</t>
  </si>
  <si>
    <t xml:space="preserve">   Cetak Lembar Disposisi Surat</t>
  </si>
  <si>
    <t>dus</t>
  </si>
  <si>
    <t>38 jenis</t>
  </si>
  <si>
    <t>klg</t>
  </si>
  <si>
    <t>btl</t>
  </si>
  <si>
    <t xml:space="preserve">   Pewangi ruangan Bayfresh</t>
  </si>
  <si>
    <t xml:space="preserve">   Sikat lantai gagang panjang</t>
  </si>
  <si>
    <t xml:space="preserve">   Sikat lobang kloset</t>
  </si>
  <si>
    <t xml:space="preserve">   Cairan pembersih lantai (Porstex)</t>
  </si>
  <si>
    <t xml:space="preserve">   Cairan pembersih kaca</t>
  </si>
  <si>
    <t xml:space="preserve">   Tong sampah besar roda</t>
  </si>
  <si>
    <t xml:space="preserve">   Tong sampah sedang </t>
  </si>
  <si>
    <t xml:space="preserve">   Tong sampah kecil</t>
  </si>
  <si>
    <t xml:space="preserve">   Keset kaki sedang</t>
  </si>
  <si>
    <t xml:space="preserve">   Keset kaki besar</t>
  </si>
  <si>
    <t xml:space="preserve">   Sapu lidi</t>
  </si>
  <si>
    <t xml:space="preserve">   Pangki</t>
  </si>
  <si>
    <t xml:space="preserve">   Parang</t>
  </si>
  <si>
    <t xml:space="preserve">   Cangkol</t>
  </si>
  <si>
    <t xml:space="preserve">   tisu kotak</t>
  </si>
  <si>
    <t xml:space="preserve">   Cairan pembersih lantai</t>
  </si>
  <si>
    <t xml:space="preserve">   Pel gagang pembersih lantai</t>
  </si>
  <si>
    <t xml:space="preserve">   Sapu debu/kemoceng</t>
  </si>
  <si>
    <t xml:space="preserve">   Sapu ijuk gagang panjang</t>
  </si>
  <si>
    <t xml:space="preserve">   Sapu lantai plastik</t>
  </si>
  <si>
    <t xml:space="preserve">   Sodok sampah</t>
  </si>
  <si>
    <t xml:space="preserve">   Gagang pel tolak air</t>
  </si>
  <si>
    <t xml:space="preserve">   Bola Lampu TL - 54/36 watt</t>
  </si>
  <si>
    <t xml:space="preserve">   Kabel  - 2 x 1.5 Sqmm</t>
  </si>
  <si>
    <t>- Security 2 org x 12 bln</t>
  </si>
  <si>
    <t>Belanja bahan bakar minyak/gas sarana mobilitas</t>
  </si>
  <si>
    <t>pack</t>
  </si>
  <si>
    <t>botol</t>
  </si>
  <si>
    <t>- Odner/binder - folio</t>
  </si>
  <si>
    <t xml:space="preserve">- Spidol permanent </t>
  </si>
  <si>
    <t>- Tas seminar kit</t>
  </si>
  <si>
    <t>Persentase terpenuhinya data base statistik daerah</t>
  </si>
  <si>
    <t>Jumlah dokumen data statistik yang diolah, diupdate dan dianalisis</t>
  </si>
  <si>
    <t>Persentase data Statistik Sektoral Kota Banda Aceh terupdate dan tepat waktu</t>
  </si>
  <si>
    <t>Persentase terwujudnya sistem pemerintahan yang berbasia TIK dan masyarakat dapat terlayani secara elektronik</t>
  </si>
  <si>
    <t>Persentase permintaan informasi publik yang dapat dilayani</t>
  </si>
  <si>
    <t>Nilai Pemeringkatan Pemerintah Berbasis Elektronik</t>
  </si>
  <si>
    <t>Persentase OPD yang aplikasinya terintegrasi</t>
  </si>
  <si>
    <t>Persentase terpenuhinya data base infokom</t>
  </si>
  <si>
    <t>Persentase terpenuhinya peningkatan SDM bidang Kominfo</t>
  </si>
  <si>
    <t>Persentase terserapnya informasi pelaksanaan kepemerintahan kepada masyarakat</t>
  </si>
  <si>
    <t>Persentese website OPD yang aktif</t>
  </si>
  <si>
    <t>- BBM roda 4 toyota BL 243 AH (Siaran Keliling) = (1 kendaraan x 6 liter x 12 bulan x 22 hari )</t>
  </si>
  <si>
    <t>- catridge - black</t>
  </si>
  <si>
    <t>-  Honorarium Peserta  45 orang x 2 kali</t>
  </si>
  <si>
    <t>oj</t>
  </si>
  <si>
    <t>- Honorarium Moderator 2 orang x 1 kali x 4 jam</t>
  </si>
  <si>
    <t>- Cetak buku</t>
  </si>
  <si>
    <t>- Makan kegiatan 57 org x 2 kali</t>
  </si>
  <si>
    <t>- Snack kegiatan 57 org x 4 kali</t>
  </si>
  <si>
    <t>- Pengarah (2org x 6 bln)</t>
  </si>
  <si>
    <t>- Penjilid sedang</t>
  </si>
  <si>
    <t>- Amplop panjang</t>
  </si>
  <si>
    <t>- Amplop pendek</t>
  </si>
  <si>
    <t>- Cetak buku laporan - lux</t>
  </si>
  <si>
    <t>- Spidol Permanent</t>
  </si>
  <si>
    <t>- Cetak buku laporan - Lux</t>
  </si>
  <si>
    <t>- Baliho/Spanduk/Backdrop - Bahan Flexy 340 gram</t>
  </si>
  <si>
    <t>Ongkos pasang spanduk</t>
  </si>
  <si>
    <t>- Baliho/Spanduk/Backdrop - Ongkos pasang spanduk</t>
  </si>
  <si>
    <t>- Map gantung</t>
  </si>
  <si>
    <t>-  Akomodasi Peserta  30 orang x 2 kali</t>
  </si>
  <si>
    <t xml:space="preserve"> - Map Plastik</t>
  </si>
  <si>
    <t xml:space="preserve"> - amplop pendek</t>
  </si>
  <si>
    <t xml:space="preserve"> - kertas hvs A4</t>
  </si>
  <si>
    <t xml:space="preserve"> - Polpen - Pilot G 0,7</t>
  </si>
  <si>
    <t>oh</t>
  </si>
  <si>
    <t>- Buku Ekspedisi Bercetak isi 100 lbr</t>
  </si>
  <si>
    <t xml:space="preserve">- Alat Penjilid sedang Max  </t>
  </si>
  <si>
    <t>- Anak Penjilid sedang Max</t>
  </si>
  <si>
    <t>- Cartridge -yellow/magenta/cyan/black</t>
  </si>
  <si>
    <t>- Foto Copy Bahan Laporan Razia A4</t>
  </si>
  <si>
    <t>- Anak Penjilid - kecil</t>
  </si>
  <si>
    <t>- Odner/Binder - folio</t>
  </si>
  <si>
    <t>- Odner/Binder - folio plastik</t>
  </si>
  <si>
    <t>- Binder klip - No. 200</t>
  </si>
  <si>
    <t>- Map Gantung</t>
  </si>
  <si>
    <t>- BBM roda 4 BL 175 J = 1 kendaraan x 6 liter x 12 bulan x 22hari</t>
  </si>
  <si>
    <t>- Penggantian suku cadang kendaraan Roda 4 &amp; 2 : BL 243 AH , B 3543 PQV,BL 175 J ( roda 4 ) dan BL 2336 AN ( roda 2 )</t>
  </si>
  <si>
    <t>Belanja Kawat/faksimili/internet</t>
  </si>
  <si>
    <t>- Biaya langganan Bandwith Internet</t>
  </si>
  <si>
    <t>- Iklan / Pariwara koran</t>
  </si>
  <si>
    <t>- honorarium Notulen 1 org x 6 jam</t>
  </si>
  <si>
    <t>- honorarium Moderator 1 org x 6 jam</t>
  </si>
  <si>
    <t>- Amplop Linen Putih Kecil</t>
  </si>
  <si>
    <t>- Isolasi Hitam Besar</t>
  </si>
  <si>
    <t>- Blok Note</t>
  </si>
  <si>
    <t>Stel</t>
  </si>
  <si>
    <t>Kelompok Sasaran Kegiatan : Keseragaman pakaian dinas</t>
  </si>
  <si>
    <t>Penyediaan Jasa Komunikasi, sumber daya air dan listrik</t>
  </si>
  <si>
    <t xml:space="preserve">   Kertas - HVS 70 gram  folio</t>
  </si>
  <si>
    <t xml:space="preserve">   Kertas - HVS 70 gram A4</t>
  </si>
  <si>
    <t xml:space="preserve">   Lem Cair - Tanggung (32 ml)</t>
  </si>
  <si>
    <t xml:space="preserve">   Spidol - White Board</t>
  </si>
  <si>
    <t xml:space="preserve">   Ballpoint - Refill Parker Ballpoint</t>
  </si>
  <si>
    <t xml:space="preserve">   Cartridge - Yellow/Magenta/Cyan/Black</t>
  </si>
  <si>
    <t>Unit</t>
  </si>
  <si>
    <t xml:space="preserve">   Binder Clips - No. 111</t>
  </si>
  <si>
    <t xml:space="preserve">   Binder Clips - No. 155</t>
  </si>
  <si>
    <t xml:space="preserve">   Binder Clips - No. 200</t>
  </si>
  <si>
    <t xml:space="preserve">   Buku Agenda - Standar</t>
  </si>
  <si>
    <t xml:space="preserve">   Pita - Komputer / Cartridge</t>
  </si>
  <si>
    <t xml:space="preserve">   Correction  - Ex-0811</t>
  </si>
  <si>
    <t xml:space="preserve">   Odner/Binder - Folio Plastik</t>
  </si>
  <si>
    <t xml:space="preserve">   Odner/Binder - Folio Karton</t>
  </si>
  <si>
    <t xml:space="preserve">   Tinta - L200/L100 Black</t>
  </si>
  <si>
    <t xml:space="preserve">   Buku Tulis - Isi 38 lembar</t>
  </si>
  <si>
    <t>Pack</t>
  </si>
  <si>
    <t xml:space="preserve">   Buku Ekspedisi - Isi 100 lembar</t>
  </si>
  <si>
    <t xml:space="preserve">   Buku Folio - isi 100 lembar</t>
  </si>
  <si>
    <t xml:space="preserve">   Clips/Trigonal Clip 303 - Clips/Trigonal Clip 303</t>
  </si>
  <si>
    <t xml:space="preserve">   Penjilid  - Kecil</t>
  </si>
  <si>
    <t xml:space="preserve">   Isi penjilid - Kecil</t>
  </si>
  <si>
    <t xml:space="preserve">   Pisau Cutter - Kecil</t>
  </si>
  <si>
    <t xml:space="preserve">   Pensil - Pensil 2B</t>
  </si>
  <si>
    <t>batang</t>
  </si>
  <si>
    <t xml:space="preserve">   Ballpoint - Snowman Drawing Pen 0,1</t>
  </si>
  <si>
    <t xml:space="preserve">   Isolasi Bening - Sedang</t>
  </si>
  <si>
    <t>rol</t>
  </si>
  <si>
    <t xml:space="preserve">   Pisau Cutter - Besar</t>
  </si>
  <si>
    <t xml:space="preserve">   Post it - Sedang</t>
  </si>
  <si>
    <t xml:space="preserve">   buku cek</t>
  </si>
  <si>
    <t xml:space="preserve">   Penjilid - Besar</t>
  </si>
  <si>
    <t xml:space="preserve">   Map - Swing Grip File</t>
  </si>
  <si>
    <t xml:space="preserve">   Tinta Refill - Black 100 ml</t>
  </si>
  <si>
    <t xml:space="preserve">   Tinta - 100ml Black</t>
  </si>
  <si>
    <t>box</t>
  </si>
  <si>
    <t xml:space="preserve">   Pelobang Kertas - Kecil</t>
  </si>
  <si>
    <t xml:space="preserve">   Kertas - NCR 7/8 x 11 4 Ply</t>
  </si>
  <si>
    <t xml:space="preserve">   Toner - Catridge Laserjet Pro Cp 1025 (CE 312 A, CE 313 A )</t>
  </si>
  <si>
    <t xml:space="preserve">   Tinta Refill - 05 A</t>
  </si>
  <si>
    <t xml:space="preserve">   Tinta Refill - Laserjet CE 413 A/ 412 A/ 411 A/ 410 A  Black</t>
  </si>
  <si>
    <t xml:space="preserve">   Cetak Blanko/Formulir - Bahan NCR 6 ply, cetak satu sisi isi 25 set</t>
  </si>
  <si>
    <t>blok</t>
  </si>
  <si>
    <t xml:space="preserve">   Cetak Stiker kode barang</t>
  </si>
  <si>
    <t>Lbr</t>
  </si>
  <si>
    <t xml:space="preserve">   Cetak Amplop Dinas ukuran sedang</t>
  </si>
  <si>
    <t xml:space="preserve">   Cetak amplop - Casing coklat</t>
  </si>
  <si>
    <t>pax</t>
  </si>
  <si>
    <t xml:space="preserve">   Cetak Amplop Dinas Ukuran kecil</t>
  </si>
  <si>
    <t xml:space="preserve">   Cetak amplop - Cassing coklat</t>
  </si>
  <si>
    <t xml:space="preserve">   Cetak Amplop Dinas Ukuran Besar</t>
  </si>
  <si>
    <t xml:space="preserve">   Cetak Blanko/Formulir - Bahan HVS 70 gram, cetak satu sisi, isi 100 lbr</t>
  </si>
  <si>
    <t xml:space="preserve">   Cetak kop surat - Bahan HVS 70 gram, cetak 1 warna</t>
  </si>
  <si>
    <t>Rim</t>
  </si>
  <si>
    <t xml:space="preserve">   Foto Copy - Standar A4/Folio</t>
  </si>
  <si>
    <t>8 jenis</t>
  </si>
  <si>
    <t xml:space="preserve">   Bola Lampu hemat energi, 36 w</t>
  </si>
  <si>
    <t xml:space="preserve">-  Perjalanan Dinas Luar Daerah </t>
  </si>
  <si>
    <t xml:space="preserve">- Tenaga Petugas Media Center 1 org x 12 bln </t>
  </si>
  <si>
    <t>- Tenaga Reporter 2 org x  12 bln</t>
  </si>
  <si>
    <t xml:space="preserve">- Tenaga Fotografer Media Center 1 org x 12 bln </t>
  </si>
  <si>
    <t>- Tenaga Junior Jaringan IT = 2 org x 12 bln</t>
  </si>
  <si>
    <t>- Tenaga Jaringan IT = 1 org x 12 bln</t>
  </si>
  <si>
    <t>Kecamatan Syiah Kuala</t>
  </si>
  <si>
    <t>Luar Kota Banda Aceh</t>
  </si>
  <si>
    <t>Panitia Pelaksana Teknis Kegiatan (PPTK) - Nilai pagu dana diatas Rp.   5 juta sd. Rp. 100 juta (6)</t>
  </si>
  <si>
    <t>- Kemasan Dalam Kaleng - 10 Liter</t>
  </si>
  <si>
    <t>kaleng</t>
  </si>
  <si>
    <t xml:space="preserve">   Service Printer  - Umum</t>
  </si>
  <si>
    <t xml:space="preserve">   Service Laptop</t>
  </si>
  <si>
    <t xml:space="preserve">   Service - AC Split</t>
  </si>
  <si>
    <t xml:space="preserve">   Service genset/ generator</t>
  </si>
  <si>
    <t xml:space="preserve">   Service Printer - Printer Gaji</t>
  </si>
  <si>
    <t xml:space="preserve">   Service Monitor</t>
  </si>
  <si>
    <t xml:space="preserve">   Isi Freon dari kosong AC Split - 2 PK</t>
  </si>
  <si>
    <t xml:space="preserve">   Isi Freon dari kosong AC Split - 1 PK</t>
  </si>
  <si>
    <t xml:space="preserve">   Service PC</t>
  </si>
  <si>
    <t>Pengadaan Pakaian Dinas Beserta Perlengkapannya</t>
  </si>
  <si>
    <t>- Panitia Pelaksana Teknis Kegiatan (PPTK) - Nilai pagu dana diatas Rp.   5 juta sd. Rp. 100 juta (8)</t>
  </si>
  <si>
    <t>Tim Teknis Koordinasi Forum Satu Data</t>
  </si>
  <si>
    <t>Atk kegiatan Penyusunan buku publikasi data statistik</t>
  </si>
  <si>
    <t>Kecamatan Kuta Alam, Kecamatan Baiturrahman, Kecamatan Meuraxa, Kecamatan Syiah Kuala, Kecamatan Banda Raya, Kecamatan Kuta Raja, Kecamatan Jaya Baru, Kecamatan Lueng Bata, Kecamatan Ulee Kareng</t>
  </si>
  <si>
    <t xml:space="preserve">- Panitia Pelaksana Teknis Kegiatan (PPTK) - Nilai pagu dana diatas Rp.   5 juta sd. Rp. 100 juta (1 org x 
6 bln)
</t>
  </si>
  <si>
    <t>Kegiatan Pengkajian dan pengembangan sistem informasi</t>
  </si>
  <si>
    <t>Program pengembangan komunikasi, informasi dan media massa</t>
  </si>
  <si>
    <t>- Panitia Pelaksana Teknis Kegiatan (PPTK) - Nilai pagu dana diatas Rp.   5 juta sd. Rp. 100 juta (1 orang x 3 bulan)</t>
  </si>
  <si>
    <t>Persentase aspirasi masyarakat melalui aplikasi suwarga yang dpt ditindak lanjuti</t>
  </si>
  <si>
    <t>Kelompok Sasaran Kegiatan : Tabloid info Banda Aceh</t>
  </si>
  <si>
    <t>- Panitia Pelaksana Teknis Kegiatan (PPTK) - Nilai pagu dana diatas Rp. 100 juta sd. Rp. 250 juta (1 org x 6 bln)</t>
  </si>
  <si>
    <t>Kegiatan Penyebarluasan Informasi Pembangunan Daerah</t>
  </si>
  <si>
    <t xml:space="preserve">Program Kerjasama Informasi dan Media Masa </t>
  </si>
  <si>
    <t>- Pengadaan dan pemasangan Baliho eksternal</t>
  </si>
  <si>
    <t>Narasumber Rakornis PPID</t>
  </si>
  <si>
    <t xml:space="preserve">- Honorarium Narasumber dari Aparatur Pemko 1 orang x 3 jam </t>
  </si>
  <si>
    <t xml:space="preserve">- Honorarium Narasumber dari luar Aparatur Pemko 1 orang x 3 jam </t>
  </si>
  <si>
    <t>Kecamatan Baiturahman, Kecamatan Syiah Kuala</t>
  </si>
  <si>
    <t>- Panitia Pelaksana Teknis Kegiatan (PPTK) - Nilai pagu dana diatas Rp.   5 juta sd. Rp. 100 juta (1 orang x 6 bulan)</t>
  </si>
  <si>
    <t>TAHUN ANGGARAN 2020</t>
  </si>
  <si>
    <t>Tahun Anggaran 2020</t>
  </si>
  <si>
    <t>Banda Aceh,                   2020</t>
  </si>
  <si>
    <t>- APPLE iMac MMQA2ID/A (Core i5 2.3GHz, 8GB, 1TB, 21.5 Inch) AIO Desktop PC
21.5 Inch | Intel Core i5 | 8GB | 1TB</t>
  </si>
  <si>
    <t>- Drone DJI Mavic Air</t>
  </si>
  <si>
    <t>Belanja Modal Pengadaan Peralatan Jaringan Komputer</t>
  </si>
  <si>
    <t>Belanja Modal Pengadaan Kamera</t>
  </si>
  <si>
    <t>- OTDR</t>
  </si>
  <si>
    <t>Paket</t>
  </si>
  <si>
    <t>Penyusunan dan Pengumpulan Data Statistik Daerah</t>
  </si>
  <si>
    <t>Jumlah dokumen data dan statistik daerah yang tersusun</t>
  </si>
  <si>
    <t>Honorarium Tenaga Pendukung Kegiatan</t>
  </si>
  <si>
    <t>Belanja makanan dan minuman kegiatan</t>
  </si>
  <si>
    <t>Pengembangan Data/Informasi/Statistik Daerah</t>
  </si>
  <si>
    <t>-Biaya pengadaan Template (Tema Aplikasi Mobile dan Web Admin)</t>
  </si>
  <si>
    <t>-  Panitia Pelaksana Teknis Kegiatan (PPTK) - Nilai pagu dana diatas Rp. 500 juta sd. Rp. 1 M (1 org x 6 bln)</t>
  </si>
  <si>
    <t>- Biaya Pemeliharaan Data Center</t>
  </si>
  <si>
    <t>Belanja Kursus, Pelatihan, Sosialisasi dan Bimbingan Teknis  PNS</t>
  </si>
  <si>
    <t>Tim Teknis Koordinasi Forum Satu Data (Verifikasi dan Validasi Data)</t>
  </si>
  <si>
    <t>1.23.01.15.01</t>
  </si>
  <si>
    <t>2,8 (CC)</t>
  </si>
  <si>
    <t>Tim Teknis Penyusunan Tabloid Info Banda Aceh</t>
  </si>
  <si>
    <t>- Kertas HVS 70 gram F4</t>
  </si>
  <si>
    <t>- Honor Petugas MC ( Pembekalan dan Lomba)</t>
  </si>
  <si>
    <t>- Honor Pembaca Al-Qur'an (Lomba)</t>
  </si>
  <si>
    <t>- Honor Pembaca Doa (Lomba)</t>
  </si>
  <si>
    <t>- Honor Pembaca Soal (Lomba)</t>
  </si>
  <si>
    <t>- Honor Petugas Sondsystem (Pembekalan,TM &amp; Lomba)</t>
  </si>
  <si>
    <t>- Honor Petugas Papan Skor (Lomba)</t>
  </si>
  <si>
    <t>- Transpor peserta sosialisasi 6 org x 2 kl x 9 Kecamatan</t>
  </si>
  <si>
    <t>- Transport Peserta TM dan Lomba KIG 27 orang x 2 Kali</t>
  </si>
  <si>
    <t>- Amplop Coklat Bertali 310 Folio</t>
  </si>
  <si>
    <t>- Tinta Printer Refill Infus Epson</t>
  </si>
  <si>
    <t>- Map Folio</t>
  </si>
  <si>
    <t>lusin</t>
  </si>
  <si>
    <t>- Double Tape 1 Inchi Tipis</t>
  </si>
  <si>
    <t>- Karton Manila (BC) Plano</t>
  </si>
  <si>
    <t>- Map Plastik Pakai Kancing</t>
  </si>
  <si>
    <t>- Badge Nama Lomba KIG</t>
  </si>
  <si>
    <t>- Badge Nama peserta Pembekalan KIG</t>
  </si>
  <si>
    <t>- Pulpen Pembekalan KIG</t>
  </si>
  <si>
    <t>- Blok Note Pembekalan KIG</t>
  </si>
  <si>
    <t>- Tas seminar kit Pembekalan KIG</t>
  </si>
  <si>
    <t xml:space="preserve">Belanja Alat Tulis Kantor </t>
  </si>
  <si>
    <t>- Piala 2 kaki (juara I, juara II, juara III)</t>
  </si>
  <si>
    <t xml:space="preserve">- Narasumber yang berasal dari luar aparatur pemko 1 org x 2 kali x 4 jam </t>
  </si>
  <si>
    <t>- Narasumber yang berasal dari peg Pemko 1 org x2 kali x 4 jam</t>
  </si>
  <si>
    <t>- Honorarium Moderator 2 kali x 4 jam</t>
  </si>
  <si>
    <t>- Honorarium Juri 3 orang (Lomba KIG)</t>
  </si>
  <si>
    <t>- Cetak Modul (Buku Panduan Soal Lomba KIG)</t>
  </si>
  <si>
    <t>- Cetak Sertifikat  Pemateri, Peserta dan panitia Pembekalan KIG</t>
  </si>
  <si>
    <t>- Cetak Laporan Kegiatan</t>
  </si>
  <si>
    <t>- Cetak Sertifikat (Peserta + Dewan Juri Perlombaan KIG)</t>
  </si>
  <si>
    <t>- Foto copy bahan/modul materi Pembekalan KIG</t>
  </si>
  <si>
    <t>- Foto Copy Technical Metting dan Lomba KIG</t>
  </si>
  <si>
    <t>- Makan kegiatan (Lomba)</t>
  </si>
  <si>
    <t>- Snack kegiatan (Lomba)</t>
  </si>
  <si>
    <t>- Makan kegiatan (Technical Meeting)</t>
  </si>
  <si>
    <t>- Snack kegiatan (Technical Meeting)</t>
  </si>
  <si>
    <t>stel</t>
  </si>
  <si>
    <t>Honorarium Tenaga Pendukung TOT Operator PPID</t>
  </si>
  <si>
    <t>Keg</t>
  </si>
  <si>
    <t xml:space="preserve">- Foto Copy </t>
  </si>
  <si>
    <t>Belanja jasa tim teknis Survey Data Sektoral</t>
  </si>
  <si>
    <t>- Kertas HVS 70 Gram A4</t>
  </si>
  <si>
    <t>- Pengarah (2 org x 6 bln)</t>
  </si>
  <si>
    <t>- Honor Petugas MC (1 org x 2 Keg)</t>
  </si>
  <si>
    <t>- Honor Pembaca Al-Qur'an (1 org x 2 Keg)</t>
  </si>
  <si>
    <t>- Honor Pembaca Doa (1 org x 2 Keg)</t>
  </si>
  <si>
    <t>- Honor Petugas Kebersihan tempat (1 org x 2 Keg)</t>
  </si>
  <si>
    <t>Belanja jasa konsultansi</t>
  </si>
  <si>
    <t>Belanja jasa konsultansi perencanaan</t>
  </si>
  <si>
    <t xml:space="preserve">- Perencanaan Pembangunan Fiber Optic (FO) Kota Banda Aceh </t>
  </si>
  <si>
    <t>- Biaya Langganan IOS APP Store</t>
  </si>
  <si>
    <t>- Biaya Pengadaan IP Publik</t>
  </si>
  <si>
    <t>- Biaya Pengadaan IOS Macbook Pro i5</t>
  </si>
  <si>
    <t>- Biaya Pengadaan Microsoft  Windows 10 Pro (64 bit)</t>
  </si>
  <si>
    <t>- Biaya Pengadaan Microsoft Home &amp; Business (64 bit) 2013</t>
  </si>
  <si>
    <t>- Biaya Pengadaan Anti Virus kaspersky total security 2019</t>
  </si>
  <si>
    <t>Licensi</t>
  </si>
  <si>
    <t xml:space="preserve">- Panitia Pelaksana Teknis Kegiatan (PPTK) - Nilai pagu dana diatas Rp. 500 juta sd. Rp. 1 miliar (1 org x 10 bulan)
</t>
  </si>
  <si>
    <t>- Makan kegiatan rakornis PPID 107 Kotak x 1 kali</t>
  </si>
  <si>
    <t>- Panitia Pelaksana Teknis Kegiatan (PPTK) - Nilai pagu dana diatas Rp.   5 juta sd. Rp. 100 juta (1 orang x 8 bulan)</t>
  </si>
  <si>
    <t>- Honor Petugas Kebersihan Tempat (Pembekalan, TM &amp; Lomba KIG)</t>
  </si>
  <si>
    <t>- Pengadaan dan Pemasangan Beckground 3 X 4 M</t>
  </si>
  <si>
    <t>- Biaya Produksi/Liputan TV 1 kali</t>
  </si>
  <si>
    <t>- Makan kegiatan Pembekalan KIG 2 kl x 72ktk</t>
  </si>
  <si>
    <t>- Snack kegiatan Pembekalan KIG 2 kl x 72 ktk</t>
  </si>
  <si>
    <t>- Panitia Pelaksana Teknis Kegiatan (PPTK) - Nilai pagu dana diatas Rp.   5 juta sd. Rp. 100 juta (6)</t>
  </si>
  <si>
    <t>- Pembina 1 org X 6 Bln</t>
  </si>
  <si>
    <t>- Koordinator 1 Org X 6 Bln</t>
  </si>
  <si>
    <t>- Ketua 1 Org X 6 Bln</t>
  </si>
  <si>
    <t>- Honor Petugas Sondsystem 2 Orang x 2 kali</t>
  </si>
  <si>
    <t>- Honor Petugas Kebersihan Tempat 2 Orang x 2 kali</t>
  </si>
  <si>
    <t>- Makan 68 Orang x 2 kali</t>
  </si>
  <si>
    <t>- Snack 68 Orang x 2 kali</t>
  </si>
  <si>
    <t xml:space="preserve">   Perbaikan Atap Kantor</t>
  </si>
  <si>
    <t>Belanja Modal Pengadaan Alat-alat Studio</t>
  </si>
  <si>
    <t>Belanja Modal Pengadaan Kelengkapan Alat Studio (memory card, tripod, baterai camera &amp; kaset handycam)</t>
  </si>
  <si>
    <t>- mic wireless</t>
  </si>
  <si>
    <t>Tim Pelaksana Smart City</t>
  </si>
  <si>
    <t>- Pengarah 2 Org X 6 Bln</t>
  </si>
  <si>
    <t>- penanggung jawab 1 Org X 6 Bln</t>
  </si>
  <si>
    <t>- kooordinator 1 Org X 6 Bln</t>
  </si>
  <si>
    <t>- Wakil Ketua 1 Org X 6 Bln</t>
  </si>
  <si>
    <t>- Anggota (Gol III ke atas) 30 Org X 6 Bln</t>
  </si>
  <si>
    <t>- Anggota (Gol II/I/Honorer/Kontrak) 3 Org X 6 Bln</t>
  </si>
  <si>
    <t xml:space="preserve"> - Honorarium narasumber 18 jam </t>
  </si>
  <si>
    <t xml:space="preserve"> - Honorarium Moderator 18 jam</t>
  </si>
  <si>
    <t>Belanja Makanan dan Minuman Kegiatan Pelatihan Jurnalistik</t>
  </si>
  <si>
    <t xml:space="preserve">Belanja Makanan dan Minuman Kegiatan Bimtek Smart City </t>
  </si>
  <si>
    <t xml:space="preserve"> - Makan kegiatan 2 kali x 2 hari x 30 ktk</t>
  </si>
  <si>
    <t xml:space="preserve"> - Snack kegiatan 2 kali x 2 hari x 30 ktk</t>
  </si>
  <si>
    <t xml:space="preserve">Belanja Makanan dan Minuman Kegiatan FGD Smart City </t>
  </si>
  <si>
    <t xml:space="preserve"> - Makan kegiatan 2 kali x 2 hari x 60 ktk</t>
  </si>
  <si>
    <t xml:space="preserve"> - Snack kegiatan 2 kali x 2 hari x 60 ktk</t>
  </si>
  <si>
    <t xml:space="preserve">Belanja Makanan dan Minuman Kegiatan Sosialisasi program kerja dan indikator keberhasilan smart city </t>
  </si>
  <si>
    <t xml:space="preserve"> - Snack kegiatan 2 kali x 60 ktk</t>
  </si>
  <si>
    <t>LAMA</t>
  </si>
  <si>
    <t>PENAMBAHAN</t>
  </si>
  <si>
    <t xml:space="preserve"> - Tenaga ahli akademisi Pelaksana Smart City</t>
  </si>
  <si>
    <t>- Pengadaan Pakaian Dinas Harian ( Non PNS)</t>
  </si>
  <si>
    <t>- Wakil Ketua 1 org x 3 bln</t>
  </si>
  <si>
    <t xml:space="preserve">- Tenaga kontrak administrasi 3 org x 12 bln </t>
  </si>
  <si>
    <t xml:space="preserve">- Cleaning Servis 2 org x 12 bln </t>
  </si>
  <si>
    <t>- Anggota (gol III) (2 org x 6 bln)</t>
  </si>
  <si>
    <t>- Anggota (gol II/honorer/kontrak) (15 org x 6 bln)</t>
  </si>
  <si>
    <t>- Anggota (gol III) (4 org x 6 bln)</t>
  </si>
  <si>
    <t>- Anggota (gol II/honorer/kontrak) (5 org x 6 bln)</t>
  </si>
  <si>
    <t>Penyediaan Jasa Tenaga Pendukung ADM/Teknis perkantoran</t>
  </si>
  <si>
    <t>- Pembina 2 Org X 6 Bln</t>
  </si>
  <si>
    <t>- Sekretaris 1 Org X 6 Bln</t>
  </si>
  <si>
    <t>Honorarium Tim teknis kegiatan .....</t>
  </si>
  <si>
    <t>Belanja Modal Pengadaan Kelengkapan Komputer</t>
  </si>
  <si>
    <t>1. Pembangunan Jaringan Interkoneksi di Kantor Camat Jaya Baru (OUTSUS)</t>
  </si>
  <si>
    <t>2. Pembangunan Jaringan Interkoneksi di Kantor Camat Lueng Bata (OUTSUS)</t>
  </si>
  <si>
    <t>Pembangunan Jaringan Interkoneksi dan Pengelolaan Data Center Kota Banda Aceh (OTSUS)</t>
  </si>
  <si>
    <t>Pembina Utama Muda / Nip. 19630824 198703 1 004</t>
  </si>
  <si>
    <t>- Makan Minum Harian Pegawai (15 org x 22 hari x 11 bln)</t>
  </si>
  <si>
    <t>- Makan Minum Kegiatan Perayaan Hari-hari Besar Islam</t>
  </si>
  <si>
    <t>Honorarium Panitia Penerima Hasil Pekerjaan</t>
  </si>
  <si>
    <t xml:space="preserve">- Honor Pengguna Anggaran </t>
  </si>
  <si>
    <t>- Tambahan Penghasilan PPK SKPD</t>
  </si>
  <si>
    <t>- Tambahan Penghasilan Pembantu PPK SKPD</t>
  </si>
  <si>
    <t>- Honor Bendahara Pengeluaran</t>
  </si>
  <si>
    <t>- Honor Pembantu Bendahara Pengeluaran</t>
  </si>
  <si>
    <t>- Honor Pengurus barang Pengguna</t>
  </si>
  <si>
    <t>- Honor Pengurus barang Pembantu</t>
  </si>
  <si>
    <t>- Pejabat Penatausahaan Pengguna Barang Milik Daerah</t>
  </si>
  <si>
    <t>paket</t>
  </si>
  <si>
    <t>- Cetak Setifikat</t>
  </si>
  <si>
    <t>Belanja Makanan dan Minuman Kegiatan lomba aplikasi</t>
  </si>
  <si>
    <t>Honorarium kegiatan sosialisasi tanda tangan digital</t>
  </si>
  <si>
    <t>- Snack kegiatan rakornis PPID 152 Kotak x 1 kali</t>
  </si>
  <si>
    <t>Belanja kursus, pelatihan, sosialisasi dan bimbingan teknis Non PNS</t>
  </si>
  <si>
    <t>- Belanja Pendukung Kegiatan RAPI Kota Banda Aceh</t>
  </si>
  <si>
    <t>- pubikasi pembangunan kota banda aceh</t>
  </si>
  <si>
    <t>Tim Integrasi Jaringan Interkoneksi TIK (SK Walikota Banda Aceh)</t>
  </si>
  <si>
    <t>Tim  Integrasi Aplikasi TIK (SK Walikota Banda Aceh)</t>
  </si>
  <si>
    <t>- Tenaga Junior Programmer IT = 5 org x 12 bln</t>
  </si>
  <si>
    <t>Honorarium Tim Penyusun Arsitektur SPBE</t>
  </si>
  <si>
    <t>- Sekretaris 1 org x 3 bln</t>
  </si>
  <si>
    <t>- Anggota Gol III keatas 6 org x 3 bln</t>
  </si>
  <si>
    <t>Honorarium Tim Evaluasi SPBE</t>
  </si>
  <si>
    <t>- Penanggung jawab 1 org x 3 bln</t>
  </si>
  <si>
    <t>- Koordinator 1 org x 3 bln</t>
  </si>
  <si>
    <t>Honorarium Tim Integrasi Aplikasi</t>
  </si>
  <si>
    <t>- Pengarah 2 org x 11 bln</t>
  </si>
  <si>
    <t>- Penanggung jawab 1 org x 11 bln</t>
  </si>
  <si>
    <t>- Koordinator 1 org x 11 bln</t>
  </si>
  <si>
    <t>- Ketua 1 org x 11 bln</t>
  </si>
  <si>
    <t>- Wakil Ketua 1 org x 11 bln</t>
  </si>
  <si>
    <t>- Sekretaris 1 org x 11 bln</t>
  </si>
  <si>
    <t>- Anggota Gol III (6 org x 11 bln)</t>
  </si>
  <si>
    <t>- Honorarium tim integrasi aplikasi 5 org x 11 bln</t>
  </si>
  <si>
    <t>- Honorarium tim penyusun dokumen arsitektur SPBE ( 4 org x 3 bln )</t>
  </si>
  <si>
    <t>- Honorarium Tim Penyusun Dokumen Arsitektur SPBE (3 orang x 3 bulan)</t>
  </si>
  <si>
    <t>Honorarium Tim Integrasi Aplikasi &amp; arsitektur SPBE</t>
  </si>
  <si>
    <t>Honorarium kegiatan sosialisasi dan assesment manajemen data</t>
  </si>
  <si>
    <t>- Foto copy</t>
  </si>
  <si>
    <t>lmbr</t>
  </si>
  <si>
    <t>- Snack Kegiatan 1 kali x 80 orang</t>
  </si>
  <si>
    <t>- Makan Kegiatan 1 kali x 80 orang</t>
  </si>
  <si>
    <t>Belanja Makanan dan Minuman Kegiatan FGD</t>
  </si>
  <si>
    <t>- Pengarah 2 org x 3 bln</t>
  </si>
  <si>
    <t>Belanja Makanan dan Minuman Kegiatan sosialisasi manajemen data</t>
  </si>
  <si>
    <t>- Tambahan Penghasilan Pengawai ( TPP )</t>
  </si>
  <si>
    <t>4 jenis</t>
  </si>
  <si>
    <t>- Honorarium Tim Integrasi Aplikasi ( 2 org x 12 bln )</t>
  </si>
  <si>
    <t>- Vacum Cleaner</t>
  </si>
  <si>
    <t>- Anggota 4 org x 6 bln</t>
  </si>
  <si>
    <t>- Honorarium Pembaca Doa Tenaga Pendukung Acara Seremonial (1)</t>
  </si>
  <si>
    <t>- Honorarium Pembaca Alquran Tenaga Pendukung Acara Seremonial (1)</t>
  </si>
  <si>
    <t>- Honorarium Petugas MC/Protokol Tenaga Pendukung Acara Seremonial (1)</t>
  </si>
  <si>
    <t>- Honorarium Petugas Kebersihan Pendukung Tenaga Pendukung Acara Seremonial (2 org)</t>
  </si>
  <si>
    <t>- Kertas HVS 70 Gram F4</t>
  </si>
  <si>
    <t>- Penjilid no 10</t>
  </si>
  <si>
    <t>- Anak penjilid no .10</t>
  </si>
  <si>
    <t>- Binder klip no. 260</t>
  </si>
  <si>
    <t>- Kertas sertifikat linen holand</t>
  </si>
  <si>
    <t>- Amplop</t>
  </si>
  <si>
    <t>- Ballpoint</t>
  </si>
  <si>
    <t>- Biaya Produksi/Liputan  TV</t>
  </si>
  <si>
    <t>- Honorarium Narasumber (1 org x 4 jam x 1 kali)</t>
  </si>
  <si>
    <t>- Moderator (1 org x 1 kali x 4 jam)</t>
  </si>
  <si>
    <t>- Perjalanan Dinas Narasumber</t>
  </si>
  <si>
    <t>- Makanan kegiatan (1 kl x 70 kotak)</t>
  </si>
  <si>
    <t>- Snack Kegiatan (1 hari x 2 kl x 70 kotak )</t>
  </si>
  <si>
    <t>- Pelobang kertas kecil</t>
  </si>
  <si>
    <t>- Penjilid - kecil X10.10</t>
  </si>
  <si>
    <t>- Amplop - ukuran cabinet</t>
  </si>
  <si>
    <t>- Anggota Gol III keatas 7 org x 3 bln</t>
  </si>
  <si>
    <t>- Amplop - Panjang</t>
  </si>
  <si>
    <t>- Amplop - Ukuran Folio</t>
  </si>
  <si>
    <t>- Post it - Besar</t>
  </si>
  <si>
    <t>- Post it - Sedang</t>
  </si>
  <si>
    <t>- Post it - Kecil</t>
  </si>
  <si>
    <t xml:space="preserve"> - Pembuatan Film Dokumenter </t>
  </si>
  <si>
    <t>Kecamatan Syiah Kuala, Kecamatan Baiturrahman</t>
  </si>
  <si>
    <t xml:space="preserve"> - Publikasi melalui media cetak dan online</t>
  </si>
  <si>
    <t>DPA - SKPD</t>
  </si>
  <si>
    <t>DOKUMEN PELAKSANAAN ANGGARAN</t>
  </si>
  <si>
    <t>- Anggota 28 Org X 6 Bln</t>
  </si>
  <si>
    <t>- Anggota produsen data (gol II) 14 Org X 6 Bln</t>
  </si>
  <si>
    <t>- Dispenser tape cutter - TC 106 Joyko</t>
  </si>
  <si>
    <t>-  Belanja snack dan minuman rapat (50 org x 6 kali)</t>
  </si>
  <si>
    <t>Kegiatan Pengkajian dan Penelitian Bidang Komunikasi dan Informasi</t>
  </si>
  <si>
    <t>- PPTK Ketua 1 orang x 6 bulan</t>
  </si>
  <si>
    <t>- Anggota  (7 org x 6 bln)</t>
  </si>
  <si>
    <t>- Admin Penghubung (44 org x 6 bln)</t>
  </si>
  <si>
    <t>- Anggota (6 org x 6 bln)</t>
  </si>
  <si>
    <t>- Redaktur Pelaksana 1 org x  6 bln</t>
  </si>
  <si>
    <t>- Setting/Layout  1 orang x  6 bln</t>
  </si>
  <si>
    <t>- Anggota  2 orang x  6 bln</t>
  </si>
  <si>
    <t>- Cetak dan Distribusi Tabloid Info Banda Aceh (4100 eks x 6 edisi)</t>
  </si>
  <si>
    <t>- Snack (30 org x 2 kali)</t>
  </si>
  <si>
    <t>- Makan (30 org x 2 kali)</t>
  </si>
  <si>
    <t xml:space="preserve">- Buku Folio </t>
  </si>
  <si>
    <t>- Pemasangan Baliho internal</t>
  </si>
  <si>
    <t>- Pengadaan Baliho internal</t>
  </si>
  <si>
    <t>- Pemasangan Spanduk</t>
  </si>
  <si>
    <t>- Pengadaan Spanduk</t>
  </si>
  <si>
    <t>- Jilid spiral plastik laporan PPID</t>
  </si>
  <si>
    <t>- Snack rapat PPID 60 kotak x 1 kali</t>
  </si>
  <si>
    <t>Belanja hibah barang atau jasa yang diserahkan kepada pihak ketiga/masyarakat</t>
  </si>
  <si>
    <t>- Pengadaan Perlengkapan RAPI Kota Banda Aceh</t>
  </si>
  <si>
    <t>- Buku tulis</t>
  </si>
  <si>
    <t>- pendamping</t>
  </si>
  <si>
    <t xml:space="preserve">Cetak Spanduk </t>
  </si>
  <si>
    <t>Tim Teknis Suwarga dan lapor spam</t>
  </si>
  <si>
    <t>- Honor Petugas MC (1 org x 5 Keg)</t>
  </si>
  <si>
    <t>- Honor Pembaca Al-Qur'an (1 org x 5 Keg)</t>
  </si>
  <si>
    <t>- Honor Pembaca Doa (1 org x 5 Keg)</t>
  </si>
  <si>
    <t>- Honor Petugas Kebersihan tempat (1 org x 5 Keg)</t>
  </si>
  <si>
    <t>- Kertas HVS folio</t>
  </si>
  <si>
    <t>- Kertas HVS A4</t>
  </si>
  <si>
    <t>- Spidol - white board</t>
  </si>
  <si>
    <t>- Spidol - emas/perak</t>
  </si>
  <si>
    <t>- Ballpoint _ standard B gell</t>
  </si>
  <si>
    <t>- Honorarium narasumber  (3 jam x 2 orang x 2 hari)</t>
  </si>
  <si>
    <t>Honorarium kegiatan sosialisasi Proses Bisnis Terintegrasi</t>
  </si>
  <si>
    <t>- honorarium narasumber (6 jam x 1 org x 2 hari)</t>
  </si>
  <si>
    <t>- honorarium narasumber (4 jam x 1 org x 1 hari)</t>
  </si>
  <si>
    <t>Honorarium kegiatan Bimtek ITSA</t>
  </si>
  <si>
    <t>- honorarium narasumber (2 jam x 3 org x 3 hari)</t>
  </si>
  <si>
    <t>Honorarium kegiatan pelatihan admin SKPK</t>
  </si>
  <si>
    <t>Belanja Makanan dan Minuman Kegiatan bimtek ITSA</t>
  </si>
  <si>
    <t>- Makan Kegiatan 3 hari x 15 orang</t>
  </si>
  <si>
    <t>- Snack Kegiatan 3 hari x 2 kali x 15 orang</t>
  </si>
  <si>
    <t>- Makan Kegiatan FGD 3 kali x 60 orang</t>
  </si>
  <si>
    <t>- Snack Kegiatan FGD 6 kali x 60 orang</t>
  </si>
  <si>
    <t>Belanja Makanan dan Minuman Sosialisasi tanda tangan digital</t>
  </si>
  <si>
    <t>- Makan Kegiatan 1 kali x 60 orang</t>
  </si>
  <si>
    <t>- Snack Kegiatan 2 kali x 60 orang</t>
  </si>
  <si>
    <t>Belanja Makanan dan Minuman pelatihan admin skpk</t>
  </si>
  <si>
    <t>- Makan bimtek 8 kali x 30 orang</t>
  </si>
  <si>
    <t>- Snack bimtek 16 kali x 30 orang</t>
  </si>
  <si>
    <t>Belanja Makanan dan Minuman Kegiatan layanan ITSA</t>
  </si>
  <si>
    <t>- Makan Kegiatan 2 hari x 10 orang</t>
  </si>
  <si>
    <t>- Snack Kegiatan 2 hari x 4 kali x 10 orang</t>
  </si>
  <si>
    <t>Makan minum rapat tim integrasi 10 kali x 10 orang</t>
  </si>
  <si>
    <t>- Senter Optic</t>
  </si>
  <si>
    <t>- Kabel Tracker FO</t>
  </si>
  <si>
    <t>- Tang Skune Hidrolik</t>
  </si>
  <si>
    <t>- Bor Jack Hammer</t>
  </si>
  <si>
    <t>- Holder SOC</t>
  </si>
  <si>
    <t>- Anggota Gol IV 3 org x 3 bln</t>
  </si>
  <si>
    <t>- Map Plastik</t>
  </si>
  <si>
    <t>- Tinta - 125ml Black</t>
  </si>
  <si>
    <t>- Akomodasi pemateri</t>
  </si>
  <si>
    <t xml:space="preserve">- akomodasi pemateri </t>
  </si>
  <si>
    <t>Honorarium kegiatan Layanan ITSA</t>
  </si>
  <si>
    <t>- honorarium narasumber (8 keg x 3 org x 3 jam)</t>
  </si>
  <si>
    <t>- Makan Kegiatan 2 kali x 84 orang</t>
  </si>
  <si>
    <t>- Snack Kegiatan 4 kali x 84 orang</t>
  </si>
  <si>
    <t>Belanja Makanan dan Minuman Kegiatan sosialisasi proses bisnis</t>
  </si>
  <si>
    <t>- Makan Kegiatan 2 kali x 58 orang</t>
  </si>
  <si>
    <t>- Snack Kegiatan 4 kali x 58 orang</t>
  </si>
  <si>
    <t>- Makan minum rapat 1 kali x 145 orang</t>
  </si>
  <si>
    <t>Makan minum rapat 10 kali x 18 orang</t>
  </si>
  <si>
    <t>Pembangunan  Jaringan Interkoneksi (OTSUS)</t>
  </si>
  <si>
    <t>- Pengadaan Alat Security Firewall (OTSUS)</t>
  </si>
  <si>
    <t>Pengelolaan Data Center (OTSUS)</t>
  </si>
  <si>
    <t>- Pengadaan Perangkat Monitor Jaringan dan Server (OTSUS)</t>
  </si>
  <si>
    <t>- Pengadaan Server dan NAS Backup Data Center (OTSUS)</t>
  </si>
  <si>
    <t>- Optimasi HDD Server (OUTSUS)</t>
  </si>
  <si>
    <t>- Optimasi SAN Storage Server (OUTSUS)</t>
  </si>
  <si>
    <t>- Pengadaan Power Backup dan Genset (OTSUS)</t>
  </si>
  <si>
    <t>- Pembangunan Jaringan Interkoneksi di Kantor Camat Lueng Bata (OUTSUS)</t>
  </si>
  <si>
    <t>- Pembangunan Jaringan Interkoneksi di Kantor Camat Jaya Baru (OUTSUS)</t>
  </si>
  <si>
    <t>56 stel</t>
  </si>
  <si>
    <t>4</t>
  </si>
  <si>
    <t>6</t>
  </si>
  <si>
    <t>2</t>
  </si>
  <si>
    <t>5</t>
  </si>
  <si>
    <t>3</t>
  </si>
  <si>
    <t>1</t>
  </si>
  <si>
    <t>8</t>
  </si>
  <si>
    <t xml:space="preserve">- Tim Pengelola Redaksi </t>
  </si>
  <si>
    <t>4 Orang Tenaga Jurnalistik</t>
  </si>
  <si>
    <t>- Camera Mirrorless</t>
  </si>
  <si>
    <t>- Tripod Foto</t>
  </si>
  <si>
    <t>- Gimbal</t>
  </si>
  <si>
    <t>- Audio Recorder</t>
  </si>
  <si>
    <t>- Microphone Wireless</t>
  </si>
  <si>
    <t>- Microphone External Kamera</t>
  </si>
  <si>
    <t>Tim Pengelola Redaksi Pemberitaan COVID-19 Kota Banda Aceh (SK Walikota Banda Aceh)</t>
  </si>
  <si>
    <t>- Pembina (2 org x 7 bulan)</t>
  </si>
  <si>
    <t>- Pengarah (1 orang x 7 bulan)</t>
  </si>
  <si>
    <t>- Penanggung Jawab (2 orang x 7 bulan)</t>
  </si>
  <si>
    <t>- Koordinator (3 orang x 7 bulan)</t>
  </si>
  <si>
    <t>- Ketua (1 orang x 7 bulan)</t>
  </si>
  <si>
    <t>- Anggota (5 orang x 7 bulan)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</si>
</sst>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Rp&quot;* #,##0_);_(&quot;Rp&quot;* \(#,##0\);_(&quot;Rp&quot;* &quot;-&quot;_);_(@_)"/>
    <numFmt numFmtId="41" formatCode="_(* #,##0_);_(* \(#,##0\);_(* &quot;-&quot;_);_(@_)"/>
    <numFmt numFmtId="43" formatCode="_(* #,##0.00_);_(* \(#,##0.00\);_(* &quot;-&quot;??_);_(@_)"/>
    <numFmt numFmtId="164" formatCode="_([$Rp-421]* #,##0.00_);_([$Rp-421]* \(#,##0.00\);_([$Rp-421]* &quot;-&quot;??_);_(@_)"/>
    <numFmt numFmtId="165" formatCode="_(* #,##0_);_(* \(#,##0\);_(* &quot;-&quot;??_);_(@_)"/>
    <numFmt numFmtId="166" formatCode="_([$Rp-421]* #,##0_);_([$Rp-421]* \(#,##0\);_([$Rp-421]* &quot;-&quot;??_);_(@_)"/>
    <numFmt numFmtId="167" formatCode="yyyy\-mm\-dd;@"/>
    <numFmt numFmtId="168" formatCode="_(* #,##0.00_);_(* \(#,##0.00\);_(* \-??_);_(@_)"/>
    <numFmt numFmtId="169" formatCode="_(* #,##0.0_);_(* \(#,##0.0\);_(* &quot;-&quot;?_);_(@_)"/>
  </numFmts>
  <fonts count="74" x14ac:knownFonts="1">
    <font>
      <sz val="10"/>
      <name val="Arial"/>
    </font>
    <font>
      <sz val="10"/>
      <name val="Arial"/>
      <family val="2"/>
    </font>
    <font>
      <sz val="10"/>
      <name val="Times New Roman"/>
      <family val="1"/>
    </font>
    <font>
      <b/>
      <sz val="11"/>
      <name val="Tahoma"/>
      <family val="2"/>
    </font>
    <font>
      <sz val="11"/>
      <name val="Tahoma"/>
      <family val="2"/>
    </font>
    <font>
      <b/>
      <sz val="10"/>
      <name val="Tahoma"/>
      <family val="2"/>
    </font>
    <font>
      <b/>
      <sz val="16"/>
      <name val="Tahoma"/>
      <family val="2"/>
    </font>
    <font>
      <b/>
      <sz val="9"/>
      <name val="Tahoma"/>
      <family val="2"/>
    </font>
    <font>
      <sz val="10"/>
      <name val="Tahoma"/>
      <family val="2"/>
    </font>
    <font>
      <b/>
      <sz val="8"/>
      <name val="Tahoma"/>
      <family val="2"/>
    </font>
    <font>
      <sz val="10"/>
      <name val="Arial"/>
      <family val="2"/>
    </font>
    <font>
      <b/>
      <sz val="14"/>
      <name val="Tahoma"/>
      <family val="2"/>
    </font>
    <font>
      <b/>
      <sz val="10"/>
      <name val="Arial"/>
      <family val="2"/>
    </font>
    <font>
      <b/>
      <u/>
      <sz val="11"/>
      <name val="Tahoma"/>
      <family val="2"/>
    </font>
    <font>
      <sz val="8"/>
      <name val="Arial"/>
      <family val="2"/>
    </font>
    <font>
      <sz val="9"/>
      <name val="Tahoma"/>
      <family val="2"/>
    </font>
    <font>
      <b/>
      <sz val="10"/>
      <color indexed="8"/>
      <name val="Tahoma"/>
      <family val="2"/>
    </font>
    <font>
      <sz val="10"/>
      <color indexed="8"/>
      <name val="Tahoma"/>
      <family val="2"/>
    </font>
    <font>
      <u/>
      <sz val="10"/>
      <color indexed="12"/>
      <name val="Arial"/>
      <family val="2"/>
    </font>
    <font>
      <b/>
      <sz val="10"/>
      <name val="Times New Roman"/>
      <family val="1"/>
    </font>
    <font>
      <b/>
      <sz val="9"/>
      <color indexed="8"/>
      <name val="Tahoma"/>
      <family val="2"/>
    </font>
    <font>
      <sz val="9"/>
      <color indexed="8"/>
      <name val="Tahoma"/>
      <family val="2"/>
    </font>
    <font>
      <u/>
      <sz val="10"/>
      <name val="Times New Roman"/>
      <family val="1"/>
    </font>
    <font>
      <b/>
      <sz val="11"/>
      <name val="Arial"/>
      <family val="2"/>
    </font>
    <font>
      <u/>
      <sz val="10"/>
      <name val="Arial"/>
      <family val="2"/>
    </font>
    <font>
      <sz val="14"/>
      <name val="Tahoma"/>
      <family val="2"/>
    </font>
    <font>
      <sz val="12"/>
      <color indexed="10"/>
      <name val="Arial"/>
      <family val="2"/>
    </font>
    <font>
      <b/>
      <u/>
      <sz val="10"/>
      <name val="Tahoma"/>
      <family val="2"/>
    </font>
    <font>
      <sz val="10"/>
      <color indexed="10"/>
      <name val="Tahoma"/>
      <family val="2"/>
    </font>
    <font>
      <i/>
      <sz val="10"/>
      <color indexed="8"/>
      <name val="Tahoma"/>
      <family val="2"/>
    </font>
    <font>
      <b/>
      <i/>
      <sz val="10"/>
      <name val="Tahoma"/>
      <family val="2"/>
    </font>
    <font>
      <sz val="11"/>
      <color rgb="FF000000"/>
      <name val="Calibri"/>
      <family val="2"/>
      <charset val="1"/>
    </font>
    <font>
      <sz val="10"/>
      <color rgb="FFFF0000"/>
      <name val="Tahoma"/>
      <family val="2"/>
    </font>
    <font>
      <b/>
      <sz val="14"/>
      <color theme="1"/>
      <name val="Tahoma"/>
      <family val="2"/>
    </font>
    <font>
      <sz val="11"/>
      <color theme="1"/>
      <name val="Tahoma"/>
      <family val="2"/>
    </font>
    <font>
      <b/>
      <sz val="10"/>
      <color theme="1"/>
      <name val="Tahoma"/>
      <family val="2"/>
    </font>
    <font>
      <sz val="10"/>
      <color theme="1"/>
      <name val="Tahoma"/>
      <family val="2"/>
    </font>
    <font>
      <b/>
      <sz val="11"/>
      <color theme="1"/>
      <name val="Tahoma"/>
      <family val="2"/>
    </font>
    <font>
      <b/>
      <u/>
      <sz val="10"/>
      <color theme="1"/>
      <name val="Tahoma"/>
      <family val="2"/>
    </font>
    <font>
      <b/>
      <sz val="16"/>
      <color theme="1"/>
      <name val="Tahoma"/>
      <family val="2"/>
    </font>
    <font>
      <b/>
      <sz val="12"/>
      <name val="Arial"/>
      <family val="2"/>
    </font>
    <font>
      <sz val="12"/>
      <name val="Arial"/>
      <family val="2"/>
    </font>
    <font>
      <b/>
      <u val="singleAccounting"/>
      <sz val="12"/>
      <name val="Arial"/>
      <family val="2"/>
    </font>
    <font>
      <i/>
      <sz val="10"/>
      <name val="Tahoma"/>
      <family val="2"/>
    </font>
    <font>
      <b/>
      <sz val="9"/>
      <color indexed="81"/>
      <name val="Tahoma"/>
      <family val="2"/>
    </font>
    <font>
      <sz val="9"/>
      <color indexed="81"/>
      <name val="Tahoma"/>
      <family val="2"/>
    </font>
    <font>
      <sz val="10"/>
      <color rgb="FF000000"/>
      <name val="Tahoma"/>
      <family val="2"/>
    </font>
    <font>
      <b/>
      <sz val="12"/>
      <name val="Tahoma"/>
      <family val="2"/>
    </font>
    <font>
      <sz val="10"/>
      <color rgb="FFC00000"/>
      <name val="Tahoma"/>
      <family val="2"/>
    </font>
    <font>
      <sz val="9"/>
      <color theme="1"/>
      <name val="Tahoma"/>
      <family val="2"/>
    </font>
    <font>
      <sz val="9"/>
      <color indexed="10"/>
      <name val="Tahoma"/>
      <family val="2"/>
    </font>
    <font>
      <sz val="20"/>
      <name val="Tahoma"/>
      <family val="2"/>
    </font>
    <font>
      <sz val="16"/>
      <name val="Tahoma"/>
      <family val="2"/>
    </font>
    <font>
      <sz val="24"/>
      <name val="Tahoma"/>
      <family val="2"/>
    </font>
    <font>
      <sz val="48"/>
      <name val="Tahoma"/>
      <family val="2"/>
    </font>
    <font>
      <sz val="12"/>
      <name val="Tahoma"/>
      <family val="2"/>
    </font>
    <font>
      <sz val="11"/>
      <color indexed="8"/>
      <name val="Tahoma"/>
      <family val="2"/>
    </font>
    <font>
      <sz val="11"/>
      <color rgb="FFFF0000"/>
      <name val="Tahoma"/>
      <family val="2"/>
    </font>
    <font>
      <b/>
      <i/>
      <sz val="10"/>
      <color theme="1"/>
      <name val="Tahoma"/>
      <family val="2"/>
    </font>
    <font>
      <b/>
      <sz val="11"/>
      <color indexed="8"/>
      <name val="Tahoma"/>
      <family val="2"/>
    </font>
    <font>
      <sz val="10"/>
      <color indexed="53"/>
      <name val="Tahoma"/>
      <family val="2"/>
    </font>
    <font>
      <u/>
      <sz val="10"/>
      <name val="Tahoma"/>
      <family val="2"/>
    </font>
    <font>
      <sz val="12"/>
      <color indexed="10"/>
      <name val="Tahoma"/>
      <family val="2"/>
    </font>
    <font>
      <sz val="12"/>
      <color theme="1"/>
      <name val="Tahoma"/>
      <family val="2"/>
    </font>
    <font>
      <u/>
      <sz val="10"/>
      <color theme="1"/>
      <name val="Tahoma"/>
      <family val="2"/>
    </font>
    <font>
      <b/>
      <sz val="10"/>
      <color rgb="FFFF0000"/>
      <name val="Tahoma"/>
      <family val="2"/>
    </font>
    <font>
      <u/>
      <sz val="10"/>
      <color rgb="FFFF0000"/>
      <name val="Tahoma"/>
      <family val="2"/>
    </font>
    <font>
      <u val="singleAccounting"/>
      <sz val="10"/>
      <color theme="1"/>
      <name val="Tahoma"/>
      <family val="2"/>
    </font>
    <font>
      <b/>
      <sz val="9"/>
      <color theme="1"/>
      <name val="Tahoma"/>
      <family val="2"/>
    </font>
    <font>
      <i/>
      <sz val="10"/>
      <color theme="1"/>
      <name val="Tahoma"/>
      <family val="2"/>
    </font>
    <font>
      <sz val="10"/>
      <color rgb="FF00B050"/>
      <name val="Tahoma"/>
      <family val="2"/>
    </font>
    <font>
      <sz val="10"/>
      <color theme="1"/>
      <name val="Arial"/>
      <family val="2"/>
    </font>
    <font>
      <b/>
      <sz val="12"/>
      <color indexed="10"/>
      <name val="Tahoma"/>
      <family val="2"/>
    </font>
    <font>
      <b/>
      <sz val="10"/>
      <color indexed="10"/>
      <name val="Tahoma"/>
      <family val="2"/>
    </font>
  </fonts>
  <fills count="12">
    <fill>
      <patternFill patternType="none"/>
    </fill>
    <fill>
      <patternFill patternType="gray125"/>
    </fill>
    <fill>
      <patternFill patternType="solid">
        <fgColor indexed="8"/>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s>
  <borders count="245">
    <border>
      <left/>
      <right/>
      <top/>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ck">
        <color indexed="64"/>
      </left>
      <right style="thin">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otted">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double">
        <color indexed="64"/>
      </left>
      <right/>
      <top/>
      <bottom/>
      <diagonal/>
    </border>
    <border>
      <left/>
      <right/>
      <top style="thick">
        <color indexed="64"/>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ck">
        <color indexed="64"/>
      </bottom>
      <diagonal/>
    </border>
    <border>
      <left/>
      <right style="double">
        <color indexed="64"/>
      </right>
      <top style="thick">
        <color indexed="64"/>
      </top>
      <bottom/>
      <diagonal/>
    </border>
    <border>
      <left/>
      <right style="double">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double">
        <color indexed="64"/>
      </right>
      <top style="dotted">
        <color indexed="64"/>
      </top>
      <bottom/>
      <diagonal/>
    </border>
    <border>
      <left/>
      <right/>
      <top style="thin">
        <color indexed="64"/>
      </top>
      <bottom style="medium">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double">
        <color indexed="64"/>
      </right>
      <top style="thick">
        <color indexed="64"/>
      </top>
      <bottom style="thick">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thick">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ck">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thick">
        <color indexed="64"/>
      </top>
      <bottom style="thin">
        <color indexed="64"/>
      </bottom>
      <diagonal/>
    </border>
    <border>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thick">
        <color indexed="64"/>
      </bottom>
      <diagonal/>
    </border>
    <border>
      <left style="double">
        <color indexed="64"/>
      </left>
      <right/>
      <top style="dotted">
        <color indexed="64"/>
      </top>
      <bottom style="dotted">
        <color indexed="64"/>
      </bottom>
      <diagonal/>
    </border>
    <border>
      <left/>
      <right/>
      <top style="double">
        <color indexed="64"/>
      </top>
      <bottom style="thin">
        <color indexed="64"/>
      </bottom>
      <diagonal/>
    </border>
    <border>
      <left style="thin">
        <color indexed="64"/>
      </left>
      <right style="thin">
        <color indexed="64"/>
      </right>
      <top/>
      <bottom style="dashed">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thin">
        <color indexed="64"/>
      </left>
      <right style="thin">
        <color indexed="64"/>
      </right>
      <top style="hair">
        <color indexed="64"/>
      </top>
      <bottom style="hair">
        <color indexed="64"/>
      </bottom>
      <diagonal/>
    </border>
    <border>
      <left/>
      <right style="double">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ck">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right style="thin">
        <color indexed="64"/>
      </right>
      <top/>
      <bottom style="thick">
        <color indexed="64"/>
      </bottom>
      <diagonal/>
    </border>
    <border>
      <left/>
      <right/>
      <top/>
      <bottom style="dotted">
        <color indexed="64"/>
      </bottom>
      <diagonal/>
    </border>
    <border>
      <left style="double">
        <color indexed="64"/>
      </left>
      <right style="thin">
        <color indexed="64"/>
      </right>
      <top/>
      <bottom/>
      <diagonal/>
    </border>
    <border>
      <left style="double">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double">
        <color indexed="64"/>
      </left>
      <right/>
      <top style="thick">
        <color indexed="64"/>
      </top>
      <bottom style="thick">
        <color indexed="64"/>
      </bottom>
      <diagonal/>
    </border>
    <border>
      <left style="double">
        <color indexed="64"/>
      </left>
      <right/>
      <top style="thick">
        <color indexed="64"/>
      </top>
      <bottom/>
      <diagonal/>
    </border>
    <border>
      <left style="thin">
        <color indexed="8"/>
      </left>
      <right/>
      <top/>
      <bottom style="thin">
        <color indexed="64"/>
      </bottom>
      <diagonal/>
    </border>
    <border>
      <left/>
      <right style="medium">
        <color indexed="64"/>
      </right>
      <top/>
      <bottom style="medium">
        <color indexed="64"/>
      </bottom>
      <diagonal/>
    </border>
    <border>
      <left/>
      <right style="medium">
        <color indexed="64"/>
      </right>
      <top style="double">
        <color indexed="64"/>
      </top>
      <bottom/>
      <diagonal/>
    </border>
    <border>
      <left style="double">
        <color indexed="64"/>
      </left>
      <right/>
      <top style="medium">
        <color indexed="64"/>
      </top>
      <bottom/>
      <diagonal/>
    </border>
    <border>
      <left/>
      <right style="medium">
        <color indexed="8"/>
      </right>
      <top style="medium">
        <color indexed="64"/>
      </top>
      <bottom/>
      <diagonal/>
    </border>
    <border>
      <left style="thin">
        <color indexed="64"/>
      </left>
      <right/>
      <top style="double">
        <color indexed="64"/>
      </top>
      <bottom style="thin">
        <color indexed="64"/>
      </bottom>
      <diagonal/>
    </border>
    <border>
      <left style="double">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style="thin">
        <color indexed="64"/>
      </right>
      <top style="thick">
        <color indexed="64"/>
      </top>
      <bottom style="thick">
        <color indexed="64"/>
      </bottom>
      <diagonal/>
    </border>
    <border>
      <left style="medium">
        <color indexed="64"/>
      </left>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right style="medium">
        <color indexed="8"/>
      </right>
      <top/>
      <bottom style="medium">
        <color indexed="64"/>
      </bottom>
      <diagonal/>
    </border>
    <border>
      <left style="medium">
        <color indexed="64"/>
      </left>
      <right/>
      <top style="double">
        <color indexed="64"/>
      </top>
      <bottom/>
      <diagonal/>
    </border>
    <border>
      <left style="medium">
        <color indexed="8"/>
      </left>
      <right/>
      <top/>
      <bottom/>
      <diagonal/>
    </border>
    <border>
      <left/>
      <right style="double">
        <color indexed="64"/>
      </right>
      <top/>
      <bottom style="medium">
        <color indexed="8"/>
      </bottom>
      <diagonal/>
    </border>
    <border>
      <left/>
      <right/>
      <top style="double">
        <color indexed="64"/>
      </top>
      <bottom style="dotted">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uble">
        <color indexed="64"/>
      </right>
      <top/>
      <bottom style="medium">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double">
        <color auto="1"/>
      </right>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auto="1"/>
      </left>
      <right style="double">
        <color indexed="64"/>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top/>
      <bottom style="dashed">
        <color indexed="64"/>
      </bottom>
      <diagonal/>
    </border>
    <border>
      <left/>
      <right/>
      <top style="dotted">
        <color indexed="64"/>
      </top>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hair">
        <color indexed="64"/>
      </top>
      <bottom/>
      <diagonal/>
    </border>
    <border>
      <left style="thin">
        <color indexed="64"/>
      </left>
      <right style="medium">
        <color indexed="64"/>
      </right>
      <top style="dotted">
        <color indexed="64"/>
      </top>
      <bottom style="thin">
        <color indexed="64"/>
      </bottom>
      <diagonal/>
    </border>
    <border>
      <left style="thin">
        <color indexed="8"/>
      </left>
      <right/>
      <top style="thin">
        <color indexed="64"/>
      </top>
      <bottom/>
      <diagonal/>
    </border>
    <border>
      <left style="thin">
        <color indexed="8"/>
      </left>
      <right/>
      <top style="thin">
        <color indexed="64"/>
      </top>
      <bottom style="thin">
        <color indexed="64"/>
      </bottom>
      <diagonal/>
    </border>
    <border>
      <left style="thin">
        <color indexed="64"/>
      </left>
      <right style="double">
        <color indexed="64"/>
      </right>
      <top style="thin">
        <color indexed="64"/>
      </top>
      <bottom style="thick">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64"/>
      </left>
      <right/>
      <top style="dotted">
        <color indexed="64"/>
      </top>
      <bottom style="hair">
        <color rgb="FF000000"/>
      </bottom>
      <diagonal/>
    </border>
    <border>
      <left style="thin">
        <color rgb="FF000000"/>
      </left>
      <right/>
      <top style="dotted">
        <color indexed="64"/>
      </top>
      <bottom style="hair">
        <color rgb="FF000000"/>
      </bottom>
      <diagonal/>
    </border>
    <border>
      <left style="thin">
        <color rgb="FF000000"/>
      </left>
      <right style="thin">
        <color rgb="FF000000"/>
      </right>
      <top style="dotted">
        <color indexed="64"/>
      </top>
      <bottom style="hair">
        <color rgb="FF000000"/>
      </bottom>
      <diagonal/>
    </border>
    <border>
      <left style="thin">
        <color indexed="64"/>
      </left>
      <right/>
      <top style="hair">
        <color rgb="FF000000"/>
      </top>
      <bottom style="hair">
        <color rgb="FF000000"/>
      </bottom>
      <diagonal/>
    </border>
    <border>
      <left style="thin">
        <color indexed="64"/>
      </left>
      <right/>
      <top style="hair">
        <color rgb="FF000000"/>
      </top>
      <bottom style="dotted">
        <color indexed="64"/>
      </bottom>
      <diagonal/>
    </border>
    <border>
      <left style="thin">
        <color rgb="FF000000"/>
      </left>
      <right/>
      <top style="hair">
        <color rgb="FF000000"/>
      </top>
      <bottom style="dotted">
        <color indexed="64"/>
      </bottom>
      <diagonal/>
    </border>
    <border>
      <left style="thin">
        <color rgb="FF000000"/>
      </left>
      <right style="thin">
        <color rgb="FF000000"/>
      </right>
      <top style="hair">
        <color rgb="FF000000"/>
      </top>
      <bottom style="dotted">
        <color indexed="64"/>
      </bottom>
      <diagonal/>
    </border>
    <border>
      <left style="thin">
        <color rgb="FF000000"/>
      </left>
      <right style="thin">
        <color rgb="FF000000"/>
      </right>
      <top style="dotted">
        <color indexed="64"/>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top style="dotted">
        <color rgb="FF000000"/>
      </top>
      <bottom style="dotted">
        <color rgb="FF000000"/>
      </bottom>
      <diagonal/>
    </border>
    <border>
      <left/>
      <right style="thin">
        <color rgb="FF000000"/>
      </right>
      <top style="dotted">
        <color rgb="FF000000"/>
      </top>
      <bottom/>
      <diagonal/>
    </border>
    <border>
      <left style="thin">
        <color rgb="FF000000"/>
      </left>
      <right style="thin">
        <color rgb="FF000000"/>
      </right>
      <top/>
      <bottom style="dotted">
        <color rgb="FF000000"/>
      </bottom>
      <diagonal/>
    </border>
    <border>
      <left style="thin">
        <color rgb="FF000000"/>
      </left>
      <right/>
      <top/>
      <bottom style="dotted">
        <color rgb="FF000000"/>
      </bottom>
      <diagonal/>
    </border>
    <border>
      <left/>
      <right style="thin">
        <color indexed="64"/>
      </right>
      <top style="hair">
        <color rgb="FF000000"/>
      </top>
      <bottom style="dotted">
        <color indexed="64"/>
      </bottom>
      <diagonal/>
    </border>
    <border>
      <left/>
      <right style="thin">
        <color rgb="FF000000"/>
      </right>
      <top style="hair">
        <color rgb="FF000000"/>
      </top>
      <bottom/>
      <diagonal/>
    </border>
    <border>
      <left style="thin">
        <color rgb="FF000000"/>
      </left>
      <right style="thin">
        <color rgb="FF000000"/>
      </right>
      <top style="dotted">
        <color rgb="FF000000"/>
      </top>
      <bottom style="dotted">
        <color indexed="64"/>
      </bottom>
      <diagonal/>
    </border>
    <border>
      <left style="thin">
        <color rgb="FF000000"/>
      </left>
      <right/>
      <top style="dotted">
        <color indexed="64"/>
      </top>
      <bottom style="dotted">
        <color rgb="FF000000"/>
      </bottom>
      <diagonal/>
    </border>
    <border>
      <left style="thin">
        <color indexed="64"/>
      </left>
      <right style="double">
        <color indexed="64"/>
      </right>
      <top style="dotted">
        <color indexed="64"/>
      </top>
      <bottom style="medium">
        <color indexed="64"/>
      </bottom>
      <diagonal/>
    </border>
    <border>
      <left/>
      <right style="double">
        <color indexed="64"/>
      </right>
      <top/>
      <bottom style="dott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double">
        <color indexed="64"/>
      </left>
      <right style="thin">
        <color indexed="64"/>
      </right>
      <top style="dotted">
        <color indexed="64"/>
      </top>
      <bottom style="medium">
        <color indexed="64"/>
      </bottom>
      <diagonal/>
    </border>
    <border>
      <left style="thin">
        <color auto="1"/>
      </left>
      <right style="thin">
        <color indexed="64"/>
      </right>
      <top/>
      <bottom style="thin">
        <color indexed="64"/>
      </bottom>
      <diagonal/>
    </border>
    <border>
      <left/>
      <right style="double">
        <color indexed="64"/>
      </right>
      <top style="dotted">
        <color indexed="64"/>
      </top>
      <bottom style="dashed">
        <color indexed="64"/>
      </bottom>
      <diagonal/>
    </border>
    <border>
      <left/>
      <right style="medium">
        <color indexed="64"/>
      </right>
      <top style="dotted">
        <color indexed="64"/>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2" fontId="1" fillId="0" borderId="0" applyFont="0" applyFill="0" applyBorder="0" applyAlignment="0" applyProtection="0"/>
    <xf numFmtId="42" fontId="10" fillId="0" borderId="0" applyFont="0" applyFill="0" applyBorder="0" applyAlignment="0" applyProtection="0"/>
    <xf numFmtId="0" fontId="18" fillId="0" borderId="0" applyNumberFormat="0" applyFill="0" applyBorder="0" applyAlignment="0" applyProtection="0">
      <alignment vertical="top"/>
      <protection locked="0"/>
    </xf>
    <xf numFmtId="0" fontId="31" fillId="0" borderId="0"/>
    <xf numFmtId="0" fontId="1" fillId="0" borderId="0"/>
    <xf numFmtId="0" fontId="10"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2" fontId="1" fillId="0" borderId="0" applyFont="0" applyFill="0" applyBorder="0" applyAlignment="0" applyProtection="0"/>
  </cellStyleXfs>
  <cellXfs count="2870">
    <xf numFmtId="0" fontId="0" fillId="0" borderId="0" xfId="0"/>
    <xf numFmtId="0" fontId="0" fillId="0" borderId="0" xfId="0" applyAlignment="1">
      <alignment vertical="center"/>
    </xf>
    <xf numFmtId="0" fontId="5" fillId="0" borderId="2" xfId="0" applyFont="1" applyBorder="1" applyAlignment="1">
      <alignment horizontal="center" wrapText="1"/>
    </xf>
    <xf numFmtId="0" fontId="3" fillId="0" borderId="4" xfId="0" applyFont="1" applyBorder="1" applyAlignment="1">
      <alignment wrapText="1"/>
    </xf>
    <xf numFmtId="0" fontId="5" fillId="0" borderId="10" xfId="0" applyFont="1" applyBorder="1" applyAlignment="1">
      <alignment horizont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4" fillId="0" borderId="17" xfId="0" applyFont="1" applyBorder="1" applyAlignment="1">
      <alignment horizontal="center" wrapText="1"/>
    </xf>
    <xf numFmtId="0" fontId="3" fillId="0" borderId="0" xfId="0" applyFont="1" applyAlignment="1"/>
    <xf numFmtId="0" fontId="5" fillId="0" borderId="21" xfId="0" applyFont="1" applyBorder="1" applyAlignment="1">
      <alignment horizontal="center" wrapText="1"/>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5" fillId="0" borderId="19" xfId="0" applyFont="1" applyBorder="1" applyAlignment="1">
      <alignment horizontal="center" wrapText="1"/>
    </xf>
    <xf numFmtId="0" fontId="2" fillId="0" borderId="0" xfId="0" applyFont="1" applyBorder="1" applyAlignment="1"/>
    <xf numFmtId="0" fontId="4" fillId="0" borderId="18" xfId="0" applyFont="1" applyBorder="1" applyAlignment="1">
      <alignment horizontal="center" wrapText="1"/>
    </xf>
    <xf numFmtId="0" fontId="0" fillId="0" borderId="0" xfId="0" applyBorder="1"/>
    <xf numFmtId="0" fontId="3" fillId="0" borderId="0" xfId="0" applyFont="1" applyBorder="1" applyAlignment="1"/>
    <xf numFmtId="0" fontId="8" fillId="0" borderId="19" xfId="0" applyFont="1" applyBorder="1" applyAlignment="1">
      <alignment horizontal="left" wrapText="1"/>
    </xf>
    <xf numFmtId="0" fontId="8" fillId="0" borderId="26" xfId="0" applyFont="1" applyBorder="1" applyAlignment="1">
      <alignment horizontal="left" wrapText="1"/>
    </xf>
    <xf numFmtId="0" fontId="16" fillId="0" borderId="19" xfId="0" applyFont="1" applyBorder="1" applyAlignment="1">
      <alignment readingOrder="1"/>
    </xf>
    <xf numFmtId="0" fontId="17" fillId="0" borderId="19" xfId="0" applyFont="1" applyBorder="1" applyAlignment="1">
      <alignment readingOrder="1"/>
    </xf>
    <xf numFmtId="0" fontId="2" fillId="0" borderId="1" xfId="0" applyFont="1" applyBorder="1" applyAlignment="1"/>
    <xf numFmtId="0" fontId="5" fillId="0" borderId="19" xfId="0" applyFont="1" applyBorder="1" applyAlignment="1">
      <alignment horizontal="left" wrapText="1"/>
    </xf>
    <xf numFmtId="0" fontId="4" fillId="0" borderId="4" xfId="0" applyFont="1" applyBorder="1" applyAlignment="1">
      <alignment vertical="top"/>
    </xf>
    <xf numFmtId="0" fontId="4" fillId="0" borderId="4" xfId="0" applyFont="1" applyBorder="1" applyAlignment="1">
      <alignment vertical="top" wrapText="1"/>
    </xf>
    <xf numFmtId="0" fontId="4" fillId="0" borderId="47" xfId="0" applyFont="1" applyBorder="1" applyAlignment="1">
      <alignment vertical="top" wrapText="1"/>
    </xf>
    <xf numFmtId="0" fontId="4" fillId="0" borderId="47" xfId="0" applyFont="1" applyBorder="1" applyAlignment="1">
      <alignment vertical="top"/>
    </xf>
    <xf numFmtId="0" fontId="8" fillId="0" borderId="17" xfId="0" quotePrefix="1" applyFont="1" applyBorder="1" applyAlignment="1">
      <alignment horizontal="center" wrapText="1"/>
    </xf>
    <xf numFmtId="0" fontId="4" fillId="0" borderId="4" xfId="0" applyFont="1" applyFill="1" applyBorder="1" applyAlignment="1">
      <alignment wrapText="1"/>
    </xf>
    <xf numFmtId="164" fontId="4" fillId="0" borderId="4" xfId="0" applyNumberFormat="1" applyFont="1" applyBorder="1" applyAlignment="1">
      <alignment wrapText="1"/>
    </xf>
    <xf numFmtId="164" fontId="4" fillId="0" borderId="47" xfId="0" applyNumberFormat="1" applyFont="1" applyBorder="1" applyAlignment="1">
      <alignment wrapText="1"/>
    </xf>
    <xf numFmtId="0" fontId="17" fillId="0" borderId="19" xfId="0" quotePrefix="1" applyFont="1" applyBorder="1" applyAlignment="1">
      <alignment readingOrder="1"/>
    </xf>
    <xf numFmtId="0" fontId="8" fillId="0" borderId="19" xfId="0" quotePrefix="1" applyFont="1" applyBorder="1" applyAlignment="1">
      <alignment horizontal="left" wrapText="1"/>
    </xf>
    <xf numFmtId="0" fontId="8" fillId="0" borderId="49" xfId="0" applyFont="1" applyBorder="1" applyAlignment="1">
      <alignment horizontal="center" wrapText="1"/>
    </xf>
    <xf numFmtId="0" fontId="11" fillId="0" borderId="50" xfId="0" applyFont="1" applyBorder="1" applyAlignment="1">
      <alignment vertical="center" wrapText="1"/>
    </xf>
    <xf numFmtId="0" fontId="11" fillId="0" borderId="51" xfId="0" applyFont="1" applyBorder="1" applyAlignment="1">
      <alignment vertical="center" wrapText="1"/>
    </xf>
    <xf numFmtId="0" fontId="5" fillId="0" borderId="52" xfId="0" applyFont="1" applyBorder="1" applyAlignment="1">
      <alignment horizontal="center" wrapText="1"/>
    </xf>
    <xf numFmtId="0" fontId="15" fillId="0" borderId="51" xfId="0" applyFont="1" applyBorder="1" applyAlignment="1">
      <alignment horizontal="center"/>
    </xf>
    <xf numFmtId="0" fontId="15" fillId="0" borderId="7" xfId="0" applyFont="1" applyBorder="1" applyAlignment="1">
      <alignment horizontal="center" wrapText="1"/>
    </xf>
    <xf numFmtId="0" fontId="8" fillId="0" borderId="63" xfId="0" applyFont="1" applyBorder="1" applyAlignment="1">
      <alignment horizontal="center" wrapText="1"/>
    </xf>
    <xf numFmtId="0" fontId="8" fillId="0" borderId="19" xfId="0" applyFont="1" applyBorder="1" applyAlignment="1">
      <alignment horizontal="center" wrapText="1"/>
    </xf>
    <xf numFmtId="0" fontId="8" fillId="0" borderId="19" xfId="0" quotePrefix="1" applyFont="1" applyBorder="1" applyAlignment="1">
      <alignment horizontal="center" wrapText="1"/>
    </xf>
    <xf numFmtId="41" fontId="5" fillId="0" borderId="64" xfId="2" applyNumberFormat="1" applyFont="1" applyBorder="1" applyAlignment="1">
      <alignment horizontal="center" wrapText="1"/>
    </xf>
    <xf numFmtId="41" fontId="5" fillId="0" borderId="64" xfId="0" applyNumberFormat="1" applyFont="1" applyBorder="1" applyAlignment="1">
      <alignment horizontal="center" wrapText="1"/>
    </xf>
    <xf numFmtId="0" fontId="5" fillId="0" borderId="65" xfId="0" applyFont="1" applyBorder="1" applyAlignment="1">
      <alignment horizontal="center" wrapText="1"/>
    </xf>
    <xf numFmtId="0" fontId="5" fillId="0" borderId="66" xfId="0" applyFont="1" applyBorder="1" applyAlignment="1">
      <alignment horizontal="center" wrapText="1"/>
    </xf>
    <xf numFmtId="0" fontId="15" fillId="0" borderId="55" xfId="0" applyFont="1" applyBorder="1" applyAlignment="1">
      <alignment horizontal="center" wrapText="1"/>
    </xf>
    <xf numFmtId="0" fontId="8" fillId="0" borderId="17" xfId="0" applyFont="1" applyFill="1" applyBorder="1" applyAlignment="1">
      <alignment horizontal="center" wrapText="1"/>
    </xf>
    <xf numFmtId="0" fontId="8" fillId="0" borderId="73" xfId="0" applyFont="1" applyBorder="1" applyAlignment="1">
      <alignment horizontal="center" wrapText="1"/>
    </xf>
    <xf numFmtId="0" fontId="8" fillId="0" borderId="19" xfId="0" applyFont="1" applyFill="1" applyBorder="1" applyAlignment="1">
      <alignment horizontal="center" wrapText="1"/>
    </xf>
    <xf numFmtId="0" fontId="5" fillId="0" borderId="19" xfId="0" applyFont="1" applyFill="1" applyBorder="1" applyAlignment="1">
      <alignment horizontal="left" wrapText="1"/>
    </xf>
    <xf numFmtId="0" fontId="16" fillId="0" borderId="73" xfId="0" applyFont="1" applyBorder="1" applyAlignment="1">
      <alignment wrapText="1" readingOrder="1"/>
    </xf>
    <xf numFmtId="0" fontId="17" fillId="0" borderId="70" xfId="0" applyFont="1" applyBorder="1" applyAlignment="1">
      <alignment wrapText="1" readingOrder="1"/>
    </xf>
    <xf numFmtId="0" fontId="8" fillId="0" borderId="19" xfId="0" applyFont="1" applyBorder="1" applyAlignment="1">
      <alignment wrapText="1"/>
    </xf>
    <xf numFmtId="0" fontId="8" fillId="0" borderId="19" xfId="0" quotePrefix="1" applyFont="1" applyBorder="1" applyAlignment="1">
      <alignment wrapText="1"/>
    </xf>
    <xf numFmtId="165" fontId="8" fillId="0" borderId="19" xfId="1" applyNumberFormat="1" applyFont="1" applyBorder="1" applyAlignment="1">
      <alignment horizontal="right" wrapText="1"/>
    </xf>
    <xf numFmtId="0" fontId="4" fillId="0" borderId="20" xfId="0" applyFont="1" applyBorder="1" applyAlignment="1">
      <alignment wrapText="1"/>
    </xf>
    <xf numFmtId="0" fontId="5" fillId="0" borderId="17" xfId="0" applyFont="1" applyBorder="1" applyAlignment="1">
      <alignment horizontal="left" wrapText="1" readingOrder="1"/>
    </xf>
    <xf numFmtId="0" fontId="5" fillId="0" borderId="19" xfId="0" applyFont="1" applyBorder="1" applyAlignment="1">
      <alignment wrapText="1"/>
    </xf>
    <xf numFmtId="0" fontId="4" fillId="0" borderId="26" xfId="0" applyFont="1" applyBorder="1" applyAlignment="1">
      <alignment wrapText="1"/>
    </xf>
    <xf numFmtId="0" fontId="5" fillId="0" borderId="17" xfId="0" applyFont="1" applyBorder="1" applyAlignment="1">
      <alignment wrapText="1"/>
    </xf>
    <xf numFmtId="0" fontId="8" fillId="0" borderId="17" xfId="0" quotePrefix="1" applyFont="1" applyBorder="1" applyAlignment="1">
      <alignment wrapText="1"/>
    </xf>
    <xf numFmtId="0" fontId="8" fillId="0" borderId="69" xfId="0" quotePrefix="1" applyFont="1" applyBorder="1" applyAlignment="1">
      <alignment horizontal="center" wrapText="1"/>
    </xf>
    <xf numFmtId="0" fontId="8" fillId="0" borderId="49" xfId="0" quotePrefix="1" applyFont="1" applyBorder="1" applyAlignment="1">
      <alignment horizontal="center" wrapText="1"/>
    </xf>
    <xf numFmtId="0" fontId="8" fillId="0" borderId="49" xfId="0" quotePrefix="1" applyFont="1" applyBorder="1" applyAlignment="1">
      <alignment wrapText="1"/>
    </xf>
    <xf numFmtId="0" fontId="8" fillId="0" borderId="19" xfId="0" quotePrefix="1" applyFont="1" applyBorder="1" applyAlignment="1">
      <alignment readingOrder="1"/>
    </xf>
    <xf numFmtId="0" fontId="11" fillId="0" borderId="78" xfId="0" applyFont="1" applyBorder="1" applyAlignment="1">
      <alignment vertical="center" wrapText="1"/>
    </xf>
    <xf numFmtId="0" fontId="11" fillId="0" borderId="33" xfId="0" applyFont="1" applyBorder="1" applyAlignment="1">
      <alignment vertical="center" wrapText="1"/>
    </xf>
    <xf numFmtId="0" fontId="11" fillId="0" borderId="79" xfId="0" applyFont="1" applyBorder="1" applyAlignment="1">
      <alignment vertical="center" wrapText="1"/>
    </xf>
    <xf numFmtId="0" fontId="4" fillId="0" borderId="54" xfId="0" applyFont="1" applyBorder="1" applyAlignment="1">
      <alignment vertical="top" wrapText="1"/>
    </xf>
    <xf numFmtId="0" fontId="4" fillId="0" borderId="54" xfId="0" applyFont="1" applyBorder="1" applyAlignment="1">
      <alignment vertical="top"/>
    </xf>
    <xf numFmtId="164" fontId="4" fillId="0" borderId="54" xfId="0" applyNumberFormat="1" applyFont="1" applyBorder="1" applyAlignment="1">
      <alignment wrapText="1"/>
    </xf>
    <xf numFmtId="0" fontId="5" fillId="0" borderId="81" xfId="0" applyFont="1" applyBorder="1" applyAlignment="1">
      <alignment horizontal="center" wrapText="1"/>
    </xf>
    <xf numFmtId="0" fontId="5" fillId="0" borderId="83" xfId="0" applyFont="1" applyBorder="1" applyAlignment="1">
      <alignment horizontal="center" wrapText="1"/>
    </xf>
    <xf numFmtId="0" fontId="8" fillId="0" borderId="86" xfId="0" applyFont="1" applyBorder="1" applyAlignment="1">
      <alignment horizontal="center" wrapText="1"/>
    </xf>
    <xf numFmtId="41" fontId="5" fillId="0" borderId="87" xfId="2" applyNumberFormat="1" applyFont="1" applyBorder="1" applyAlignment="1">
      <alignment horizontal="right" wrapText="1"/>
    </xf>
    <xf numFmtId="41" fontId="5" fillId="0" borderId="87" xfId="0" applyNumberFormat="1" applyFont="1" applyBorder="1" applyAlignment="1">
      <alignment horizontal="right" wrapText="1"/>
    </xf>
    <xf numFmtId="41" fontId="8" fillId="0" borderId="87" xfId="2" applyNumberFormat="1" applyFont="1" applyBorder="1" applyAlignment="1">
      <alignment horizontal="right" wrapText="1"/>
    </xf>
    <xf numFmtId="0" fontId="8" fillId="0" borderId="88" xfId="0" applyFont="1" applyBorder="1" applyAlignment="1">
      <alignment horizontal="center" wrapText="1"/>
    </xf>
    <xf numFmtId="0" fontId="4" fillId="0" borderId="90" xfId="0" applyFont="1" applyBorder="1" applyAlignment="1">
      <alignment horizontal="center" wrapText="1"/>
    </xf>
    <xf numFmtId="0" fontId="2" fillId="0" borderId="76" xfId="0" applyFont="1" applyBorder="1" applyAlignment="1"/>
    <xf numFmtId="0" fontId="2" fillId="0" borderId="79" xfId="0" applyFont="1" applyBorder="1" applyAlignment="1"/>
    <xf numFmtId="41" fontId="5" fillId="0" borderId="87" xfId="2" applyNumberFormat="1" applyFont="1" applyBorder="1" applyAlignment="1">
      <alignment horizontal="center" wrapText="1"/>
    </xf>
    <xf numFmtId="41" fontId="5" fillId="0" borderId="87" xfId="0" applyNumberFormat="1" applyFont="1" applyBorder="1" applyAlignment="1">
      <alignment horizontal="center" wrapText="1"/>
    </xf>
    <xf numFmtId="41" fontId="8" fillId="0" borderId="87" xfId="2" applyNumberFormat="1" applyFont="1" applyBorder="1" applyAlignment="1">
      <alignment horizontal="center" wrapText="1"/>
    </xf>
    <xf numFmtId="0" fontId="4" fillId="0" borderId="86" xfId="0" applyFont="1" applyBorder="1" applyAlignment="1">
      <alignment horizontal="center" wrapText="1"/>
    </xf>
    <xf numFmtId="0" fontId="5" fillId="0" borderId="92" xfId="0" applyFont="1" applyBorder="1" applyAlignment="1">
      <alignment horizontal="center" wrapText="1"/>
    </xf>
    <xf numFmtId="0" fontId="8" fillId="0" borderId="86" xfId="0" applyFont="1" applyFill="1" applyBorder="1" applyAlignment="1">
      <alignment horizontal="center" wrapText="1"/>
    </xf>
    <xf numFmtId="165" fontId="19" fillId="0" borderId="87" xfId="0" applyNumberFormat="1" applyFont="1" applyBorder="1" applyAlignment="1">
      <alignment horizontal="center" wrapText="1"/>
    </xf>
    <xf numFmtId="41" fontId="8" fillId="0" borderId="87" xfId="2" applyFont="1" applyBorder="1" applyAlignment="1">
      <alignment horizontal="center" wrapText="1"/>
    </xf>
    <xf numFmtId="0" fontId="7" fillId="0" borderId="17" xfId="0" applyFont="1" applyBorder="1" applyAlignment="1">
      <alignment horizontal="left" wrapText="1" readingOrder="1"/>
    </xf>
    <xf numFmtId="0" fontId="21" fillId="0" borderId="19" xfId="0" applyFont="1" applyBorder="1" applyAlignment="1">
      <alignment readingOrder="1"/>
    </xf>
    <xf numFmtId="0" fontId="5" fillId="0" borderId="18" xfId="0" applyFont="1" applyBorder="1" applyAlignment="1">
      <alignment wrapText="1"/>
    </xf>
    <xf numFmtId="0" fontId="5" fillId="0" borderId="75" xfId="0" applyFont="1" applyBorder="1" applyAlignment="1">
      <alignment wrapText="1"/>
    </xf>
    <xf numFmtId="0" fontId="5" fillId="0" borderId="73" xfId="0" applyFont="1" applyBorder="1" applyAlignment="1">
      <alignment horizontal="center" wrapText="1"/>
    </xf>
    <xf numFmtId="0" fontId="5" fillId="0" borderId="49" xfId="0" applyFont="1" applyBorder="1" applyAlignment="1">
      <alignment horizontal="center" wrapText="1"/>
    </xf>
    <xf numFmtId="0" fontId="8" fillId="0" borderId="74" xfId="0" applyFont="1" applyBorder="1" applyAlignment="1">
      <alignment wrapText="1"/>
    </xf>
    <xf numFmtId="0" fontId="11" fillId="0" borderId="103" xfId="0" applyFont="1" applyBorder="1" applyAlignment="1">
      <alignment vertical="center" wrapText="1"/>
    </xf>
    <xf numFmtId="0" fontId="11" fillId="0" borderId="6" xfId="0" applyFont="1" applyBorder="1" applyAlignment="1">
      <alignment vertical="center" wrapText="1"/>
    </xf>
    <xf numFmtId="0" fontId="4" fillId="0" borderId="37" xfId="0" applyFont="1" applyBorder="1" applyAlignment="1">
      <alignment wrapText="1"/>
    </xf>
    <xf numFmtId="0" fontId="2" fillId="0" borderId="0" xfId="0" applyFont="1" applyBorder="1" applyAlignment="1">
      <alignment horizontal="center" wrapText="1"/>
    </xf>
    <xf numFmtId="0" fontId="3" fillId="0" borderId="105" xfId="0" applyFont="1" applyBorder="1" applyAlignment="1">
      <alignment horizontal="right" wrapText="1"/>
    </xf>
    <xf numFmtId="0" fontId="15" fillId="0" borderId="104" xfId="0" applyFont="1" applyBorder="1" applyAlignment="1">
      <alignment horizontal="center" wrapText="1"/>
    </xf>
    <xf numFmtId="0" fontId="15" fillId="0" borderId="39" xfId="0" applyFont="1" applyBorder="1" applyAlignment="1">
      <alignment horizontal="center" wrapText="1"/>
    </xf>
    <xf numFmtId="0" fontId="4" fillId="0" borderId="111" xfId="0" applyFont="1" applyBorder="1" applyAlignment="1">
      <alignment horizontal="center" wrapText="1"/>
    </xf>
    <xf numFmtId="0" fontId="11" fillId="0" borderId="112" xfId="0" applyFont="1" applyBorder="1" applyAlignment="1">
      <alignment vertical="center" wrapText="1"/>
    </xf>
    <xf numFmtId="0" fontId="3" fillId="0" borderId="81" xfId="0" applyFont="1" applyBorder="1" applyAlignment="1">
      <alignment horizontal="center" vertical="center"/>
    </xf>
    <xf numFmtId="0" fontId="9" fillId="0" borderId="83" xfId="0" applyFont="1" applyBorder="1" applyAlignment="1">
      <alignment horizontal="center"/>
    </xf>
    <xf numFmtId="0" fontId="4" fillId="0" borderId="0" xfId="0" applyFont="1" applyBorder="1" applyAlignment="1"/>
    <xf numFmtId="0" fontId="3" fillId="0" borderId="81" xfId="0" applyFont="1" applyBorder="1" applyAlignment="1"/>
    <xf numFmtId="0" fontId="13" fillId="0" borderId="0" xfId="0" applyFont="1" applyBorder="1" applyAlignment="1"/>
    <xf numFmtId="0" fontId="8" fillId="0" borderId="19" xfId="0" applyFont="1" applyBorder="1" applyAlignment="1">
      <alignment readingOrder="1"/>
    </xf>
    <xf numFmtId="0" fontId="8" fillId="0" borderId="19" xfId="0" applyFont="1" applyFill="1" applyBorder="1" applyAlignment="1">
      <alignment horizontal="left" wrapText="1"/>
    </xf>
    <xf numFmtId="41" fontId="8" fillId="0" borderId="19" xfId="2" applyFont="1" applyBorder="1" applyAlignment="1">
      <alignment horizontal="center" wrapText="1"/>
    </xf>
    <xf numFmtId="165" fontId="0" fillId="0" borderId="0" xfId="0" applyNumberFormat="1"/>
    <xf numFmtId="0" fontId="4" fillId="0" borderId="123" xfId="0" applyFont="1" applyBorder="1" applyAlignment="1">
      <alignment wrapText="1"/>
    </xf>
    <xf numFmtId="0" fontId="4" fillId="0" borderId="33" xfId="0" applyFont="1" applyBorder="1" applyAlignment="1">
      <alignment horizontal="center"/>
    </xf>
    <xf numFmtId="0" fontId="8" fillId="0" borderId="33" xfId="0" applyFont="1" applyBorder="1" applyAlignment="1">
      <alignment horizontal="left"/>
    </xf>
    <xf numFmtId="0" fontId="0" fillId="0" borderId="76" xfId="0" applyBorder="1" applyAlignment="1"/>
    <xf numFmtId="0" fontId="0" fillId="0" borderId="0" xfId="0" applyBorder="1" applyAlignment="1">
      <alignment horizontal="left"/>
    </xf>
    <xf numFmtId="0" fontId="17" fillId="0" borderId="19" xfId="0" applyFont="1" applyBorder="1" applyAlignment="1">
      <alignment wrapText="1" readingOrder="1"/>
    </xf>
    <xf numFmtId="41" fontId="8" fillId="0" borderId="18" xfId="2" applyFont="1" applyBorder="1" applyAlignment="1">
      <alignment horizontal="center" wrapText="1"/>
    </xf>
    <xf numFmtId="41" fontId="8" fillId="0" borderId="87" xfId="2" applyFont="1" applyBorder="1" applyAlignment="1">
      <alignment horizontal="right" wrapText="1"/>
    </xf>
    <xf numFmtId="0" fontId="8" fillId="0" borderId="18" xfId="0" applyFont="1" applyFill="1" applyBorder="1" applyAlignment="1">
      <alignment horizontal="center" wrapText="1"/>
    </xf>
    <xf numFmtId="41" fontId="0" fillId="0" borderId="0" xfId="0" applyNumberFormat="1"/>
    <xf numFmtId="0" fontId="8" fillId="0" borderId="0" xfId="0" applyFont="1" applyBorder="1" applyAlignment="1"/>
    <xf numFmtId="0" fontId="22" fillId="0" borderId="76" xfId="0" applyFont="1" applyBorder="1" applyAlignment="1"/>
    <xf numFmtId="0" fontId="3" fillId="0" borderId="76" xfId="0" applyFont="1" applyBorder="1" applyAlignment="1"/>
    <xf numFmtId="0" fontId="20" fillId="0" borderId="19" xfId="0" applyFont="1" applyBorder="1" applyAlignment="1">
      <alignment readingOrder="1"/>
    </xf>
    <xf numFmtId="0" fontId="4" fillId="0" borderId="91" xfId="0" applyFont="1" applyBorder="1" applyAlignment="1">
      <alignment wrapText="1"/>
    </xf>
    <xf numFmtId="0" fontId="4" fillId="0" borderId="5" xfId="0" applyFont="1" applyBorder="1" applyAlignment="1">
      <alignment wrapText="1"/>
    </xf>
    <xf numFmtId="0" fontId="8" fillId="0" borderId="19" xfId="0" quotePrefix="1" applyFont="1" applyFill="1" applyBorder="1" applyAlignment="1">
      <alignment horizontal="left" wrapText="1"/>
    </xf>
    <xf numFmtId="0" fontId="16" fillId="0" borderId="19" xfId="0" applyFont="1" applyFill="1" applyBorder="1" applyAlignment="1">
      <alignment readingOrder="1"/>
    </xf>
    <xf numFmtId="0" fontId="26" fillId="0" borderId="0" xfId="0" applyFont="1" applyFill="1" applyAlignment="1"/>
    <xf numFmtId="0" fontId="26" fillId="0" borderId="0" xfId="0" applyFont="1" applyFill="1"/>
    <xf numFmtId="0" fontId="8" fillId="0" borderId="69" xfId="0" applyFont="1" applyBorder="1" applyAlignment="1">
      <alignment wrapText="1"/>
    </xf>
    <xf numFmtId="0" fontId="0" fillId="0" borderId="0" xfId="0" applyFill="1"/>
    <xf numFmtId="0" fontId="16" fillId="0" borderId="73" xfId="0" applyFont="1" applyFill="1" applyBorder="1" applyAlignment="1">
      <alignment wrapText="1" readingOrder="1"/>
    </xf>
    <xf numFmtId="0" fontId="5" fillId="0" borderId="0" xfId="0" applyFont="1" applyBorder="1" applyAlignment="1"/>
    <xf numFmtId="0" fontId="5" fillId="0" borderId="76" xfId="0" applyFont="1" applyBorder="1" applyAlignment="1"/>
    <xf numFmtId="0" fontId="8" fillId="0" borderId="115" xfId="0" applyFont="1" applyBorder="1" applyAlignment="1"/>
    <xf numFmtId="0" fontId="8" fillId="0" borderId="81" xfId="0" applyFont="1" applyBorder="1" applyAlignment="1"/>
    <xf numFmtId="0" fontId="27" fillId="0" borderId="0" xfId="0" applyFont="1" applyBorder="1" applyAlignment="1"/>
    <xf numFmtId="0" fontId="8" fillId="0" borderId="17" xfId="0" applyFont="1" applyBorder="1" applyAlignment="1">
      <alignment wrapText="1"/>
    </xf>
    <xf numFmtId="165" fontId="5" fillId="0" borderId="0" xfId="1" applyNumberFormat="1" applyFont="1" applyBorder="1" applyAlignment="1"/>
    <xf numFmtId="41" fontId="8" fillId="0" borderId="87" xfId="0" applyNumberFormat="1" applyFont="1" applyBorder="1" applyAlignment="1">
      <alignment horizontal="right" wrapText="1"/>
    </xf>
    <xf numFmtId="166" fontId="4" fillId="0" borderId="4" xfId="0" applyNumberFormat="1" applyFont="1" applyBorder="1" applyAlignment="1">
      <alignment wrapText="1"/>
    </xf>
    <xf numFmtId="0" fontId="8" fillId="0" borderId="88" xfId="0" applyFont="1" applyFill="1" applyBorder="1" applyAlignment="1">
      <alignment horizontal="center" wrapText="1"/>
    </xf>
    <xf numFmtId="0" fontId="8" fillId="0" borderId="73" xfId="0" applyFont="1" applyFill="1" applyBorder="1" applyAlignment="1">
      <alignment horizontal="center" wrapText="1"/>
    </xf>
    <xf numFmtId="0" fontId="12" fillId="0" borderId="0" xfId="0" applyNumberFormat="1" applyFont="1" applyAlignment="1">
      <alignment vertical="top" wrapText="1"/>
    </xf>
    <xf numFmtId="0" fontId="12"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33" xfId="0" applyNumberFormat="1" applyBorder="1" applyAlignment="1">
      <alignment vertical="top" wrapText="1"/>
    </xf>
    <xf numFmtId="0" fontId="0" fillId="0" borderId="134" xfId="0" applyBorder="1" applyAlignment="1">
      <alignment vertical="top" wrapText="1"/>
    </xf>
    <xf numFmtId="0" fontId="0" fillId="0" borderId="135" xfId="0" applyBorder="1" applyAlignment="1">
      <alignment vertical="top" wrapText="1"/>
    </xf>
    <xf numFmtId="0" fontId="0" fillId="0" borderId="136" xfId="0" applyBorder="1" applyAlignment="1">
      <alignment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12" fillId="0" borderId="0" xfId="0" applyNumberFormat="1" applyFont="1" applyAlignment="1">
      <alignment horizontal="center" vertical="top" wrapText="1"/>
    </xf>
    <xf numFmtId="0" fontId="0" fillId="0" borderId="134" xfId="0" applyBorder="1" applyAlignment="1">
      <alignment horizontal="center" vertical="top" wrapText="1"/>
    </xf>
    <xf numFmtId="0" fontId="0" fillId="0" borderId="137" xfId="0" applyBorder="1" applyAlignment="1">
      <alignment horizontal="center" vertical="top" wrapText="1"/>
    </xf>
    <xf numFmtId="0" fontId="0" fillId="0" borderId="136" xfId="0" applyBorder="1" applyAlignment="1">
      <alignment horizontal="center" vertical="top" wrapText="1"/>
    </xf>
    <xf numFmtId="0" fontId="18" fillId="0" borderId="138" xfId="7" applyNumberFormat="1" applyBorder="1" applyAlignment="1" applyProtection="1">
      <alignment horizontal="center" vertical="top" wrapText="1"/>
    </xf>
    <xf numFmtId="0" fontId="8" fillId="0" borderId="76" xfId="0" applyFont="1" applyBorder="1" applyAlignment="1"/>
    <xf numFmtId="0" fontId="21" fillId="0" borderId="0" xfId="0" applyFont="1" applyBorder="1" applyAlignment="1">
      <alignment readingOrder="1"/>
    </xf>
    <xf numFmtId="0" fontId="8" fillId="0" borderId="75" xfId="0" applyFont="1" applyFill="1" applyBorder="1" applyAlignment="1">
      <alignment horizontal="center" wrapText="1"/>
    </xf>
    <xf numFmtId="0" fontId="17" fillId="0" borderId="73" xfId="0" quotePrefix="1" applyFont="1" applyBorder="1" applyAlignment="1">
      <alignment readingOrder="1"/>
    </xf>
    <xf numFmtId="0" fontId="24" fillId="0" borderId="0" xfId="0" applyFont="1" applyBorder="1" applyAlignment="1"/>
    <xf numFmtId="0" fontId="23" fillId="0" borderId="0" xfId="0" applyFont="1" applyBorder="1" applyAlignment="1"/>
    <xf numFmtId="0" fontId="4" fillId="0" borderId="81" xfId="0" applyFont="1" applyBorder="1" applyAlignment="1"/>
    <xf numFmtId="0" fontId="13" fillId="0" borderId="81" xfId="0" applyFont="1" applyBorder="1" applyAlignment="1"/>
    <xf numFmtId="0" fontId="28" fillId="0" borderId="17" xfId="0" quotePrefix="1" applyFont="1" applyBorder="1" applyAlignment="1">
      <alignment horizontal="center" wrapText="1"/>
    </xf>
    <xf numFmtId="0" fontId="28" fillId="0" borderId="86" xfId="0" applyFont="1" applyBorder="1" applyAlignment="1">
      <alignment horizontal="center" wrapText="1"/>
    </xf>
    <xf numFmtId="0" fontId="28" fillId="0" borderId="18" xfId="0" quotePrefix="1" applyFont="1" applyBorder="1" applyAlignment="1">
      <alignment horizontal="center" wrapText="1"/>
    </xf>
    <xf numFmtId="0" fontId="28" fillId="0" borderId="17" xfId="0" applyFont="1" applyBorder="1" applyAlignment="1">
      <alignment horizontal="center" wrapText="1"/>
    </xf>
    <xf numFmtId="0" fontId="8" fillId="0" borderId="73" xfId="0" applyFont="1" applyBorder="1" applyAlignment="1">
      <alignment readingOrder="1"/>
    </xf>
    <xf numFmtId="0" fontId="8" fillId="0" borderId="18" xfId="0" applyFont="1" applyBorder="1" applyAlignment="1">
      <alignment horizontal="right" wrapText="1"/>
    </xf>
    <xf numFmtId="43" fontId="8" fillId="0" borderId="17" xfId="0" applyNumberFormat="1" applyFont="1" applyBorder="1" applyAlignment="1">
      <alignment horizontal="center" wrapText="1"/>
    </xf>
    <xf numFmtId="43" fontId="8" fillId="0" borderId="18" xfId="0" applyNumberFormat="1" applyFont="1" applyBorder="1" applyAlignment="1">
      <alignment horizontal="center" wrapText="1"/>
    </xf>
    <xf numFmtId="0" fontId="7" fillId="0" borderId="11" xfId="0" applyFont="1" applyBorder="1" applyAlignment="1"/>
    <xf numFmtId="165" fontId="0" fillId="0" borderId="0" xfId="0" applyNumberFormat="1" applyBorder="1"/>
    <xf numFmtId="165" fontId="8" fillId="0" borderId="0" xfId="1" applyNumberFormat="1" applyFont="1" applyBorder="1" applyAlignment="1"/>
    <xf numFmtId="0" fontId="5" fillId="0" borderId="81" xfId="0" applyFont="1" applyBorder="1" applyAlignment="1"/>
    <xf numFmtId="0" fontId="12" fillId="0" borderId="0" xfId="0" applyFont="1" applyBorder="1" applyAlignment="1"/>
    <xf numFmtId="0" fontId="5" fillId="0" borderId="19" xfId="0" applyFont="1" applyBorder="1" applyAlignment="1">
      <alignment readingOrder="1"/>
    </xf>
    <xf numFmtId="0" fontId="32" fillId="0" borderId="17" xfId="0" applyFont="1" applyBorder="1" applyAlignment="1">
      <alignment horizontal="center" wrapText="1"/>
    </xf>
    <xf numFmtId="0" fontId="32" fillId="0" borderId="19" xfId="0" quotePrefix="1" applyFont="1" applyBorder="1" applyAlignment="1">
      <alignment wrapText="1"/>
    </xf>
    <xf numFmtId="0" fontId="32" fillId="0" borderId="17" xfId="0" quotePrefix="1" applyFont="1" applyBorder="1" applyAlignment="1">
      <alignment horizontal="center" wrapText="1"/>
    </xf>
    <xf numFmtId="0" fontId="32" fillId="0" borderId="19" xfId="0" applyFont="1" applyBorder="1" applyAlignment="1">
      <alignment horizontal="center" wrapText="1"/>
    </xf>
    <xf numFmtId="0" fontId="5" fillId="0" borderId="73" xfId="0" applyFont="1" applyBorder="1" applyAlignment="1">
      <alignment readingOrder="1"/>
    </xf>
    <xf numFmtId="0" fontId="8" fillId="0" borderId="70" xfId="0" quotePrefix="1" applyFont="1" applyFill="1" applyBorder="1" applyAlignment="1">
      <alignment wrapText="1" readingOrder="1"/>
    </xf>
    <xf numFmtId="0" fontId="8" fillId="0" borderId="70" xfId="0" applyFont="1" applyBorder="1" applyAlignment="1">
      <alignment horizontal="left"/>
    </xf>
    <xf numFmtId="0" fontId="17" fillId="0" borderId="70" xfId="0" applyFont="1" applyFill="1" applyBorder="1" applyAlignment="1">
      <alignment wrapText="1" readingOrder="1"/>
    </xf>
    <xf numFmtId="0" fontId="17" fillId="0" borderId="73" xfId="0" applyFont="1" applyBorder="1" applyAlignment="1">
      <alignment readingOrder="1"/>
    </xf>
    <xf numFmtId="41" fontId="8" fillId="0" borderId="0" xfId="0" applyNumberFormat="1" applyFont="1" applyBorder="1" applyAlignment="1"/>
    <xf numFmtId="165" fontId="3" fillId="0" borderId="0" xfId="0" applyNumberFormat="1" applyFont="1" applyBorder="1" applyAlignment="1"/>
    <xf numFmtId="0" fontId="8" fillId="0" borderId="90" xfId="0" applyFont="1" applyBorder="1" applyAlignment="1">
      <alignment horizontal="center" wrapText="1"/>
    </xf>
    <xf numFmtId="0" fontId="8" fillId="0" borderId="20" xfId="0" quotePrefix="1" applyFont="1" applyBorder="1" applyAlignment="1">
      <alignment horizontal="center" wrapText="1"/>
    </xf>
    <xf numFmtId="0" fontId="8" fillId="0" borderId="26" xfId="0" quotePrefix="1" applyFont="1" applyBorder="1" applyAlignment="1">
      <alignment wrapText="1"/>
    </xf>
    <xf numFmtId="0" fontId="8" fillId="0" borderId="26" xfId="0" applyFont="1" applyBorder="1" applyAlignment="1">
      <alignment horizontal="center" wrapText="1"/>
    </xf>
    <xf numFmtId="0" fontId="8" fillId="0" borderId="20" xfId="0" applyFont="1" applyBorder="1" applyAlignment="1">
      <alignment horizontal="center" wrapText="1"/>
    </xf>
    <xf numFmtId="0" fontId="8" fillId="0" borderId="147" xfId="0" applyFont="1" applyBorder="1" applyAlignment="1">
      <alignment horizontal="center" wrapText="1"/>
    </xf>
    <xf numFmtId="0" fontId="33" fillId="0" borderId="78" xfId="8" applyFont="1" applyBorder="1" applyAlignment="1">
      <alignment vertical="center" wrapText="1"/>
    </xf>
    <xf numFmtId="0" fontId="33" fillId="0" borderId="33" xfId="8" applyFont="1" applyBorder="1" applyAlignment="1">
      <alignment vertical="center" wrapText="1"/>
    </xf>
    <xf numFmtId="0" fontId="33" fillId="0" borderId="79" xfId="8" applyFont="1" applyBorder="1" applyAlignment="1">
      <alignment vertical="center" wrapText="1"/>
    </xf>
    <xf numFmtId="0" fontId="33" fillId="0" borderId="1" xfId="8" applyFont="1" applyBorder="1" applyAlignment="1">
      <alignment vertical="center" wrapText="1"/>
    </xf>
    <xf numFmtId="164" fontId="34" fillId="0" borderId="4" xfId="8" applyNumberFormat="1" applyFont="1" applyBorder="1" applyAlignment="1">
      <alignment wrapText="1"/>
    </xf>
    <xf numFmtId="164" fontId="34" fillId="0" borderId="54" xfId="8" applyNumberFormat="1" applyFont="1" applyBorder="1" applyAlignment="1">
      <alignment wrapText="1"/>
    </xf>
    <xf numFmtId="0" fontId="35" fillId="0" borderId="81" xfId="8" applyFont="1" applyBorder="1" applyAlignment="1">
      <alignment horizontal="center" wrapText="1"/>
    </xf>
    <xf numFmtId="0" fontId="35" fillId="0" borderId="21" xfId="8" applyFont="1" applyBorder="1" applyAlignment="1">
      <alignment horizontal="center" wrapText="1"/>
    </xf>
    <xf numFmtId="0" fontId="35" fillId="0" borderId="83" xfId="8" applyFont="1" applyBorder="1" applyAlignment="1">
      <alignment horizontal="center" wrapText="1"/>
    </xf>
    <xf numFmtId="0" fontId="36" fillId="0" borderId="86" xfId="8" applyFont="1" applyBorder="1" applyAlignment="1">
      <alignment horizontal="center" wrapText="1"/>
    </xf>
    <xf numFmtId="0" fontId="36" fillId="0" borderId="17" xfId="8" quotePrefix="1" applyFont="1" applyBorder="1" applyAlignment="1">
      <alignment horizontal="center" wrapText="1"/>
    </xf>
    <xf numFmtId="0" fontId="36" fillId="0" borderId="19" xfId="8" applyFont="1" applyBorder="1" applyAlignment="1">
      <alignment wrapText="1"/>
    </xf>
    <xf numFmtId="0" fontId="36" fillId="0" borderId="17" xfId="8" applyFont="1" applyBorder="1" applyAlignment="1">
      <alignment horizontal="center" wrapText="1"/>
    </xf>
    <xf numFmtId="0" fontId="36" fillId="0" borderId="19" xfId="8" applyFont="1" applyBorder="1" applyAlignment="1">
      <alignment horizontal="center" wrapText="1"/>
    </xf>
    <xf numFmtId="0" fontId="35" fillId="0" borderId="19" xfId="8" applyFont="1" applyBorder="1" applyAlignment="1">
      <alignment horizontal="left" wrapText="1"/>
    </xf>
    <xf numFmtId="0" fontId="35" fillId="0" borderId="18" xfId="8" applyFont="1" applyBorder="1" applyAlignment="1">
      <alignment wrapText="1"/>
    </xf>
    <xf numFmtId="0" fontId="35" fillId="0" borderId="18" xfId="8" applyFont="1" applyBorder="1" applyAlignment="1">
      <alignment horizontal="center" wrapText="1"/>
    </xf>
    <xf numFmtId="0" fontId="35" fillId="0" borderId="19" xfId="8" applyFont="1" applyBorder="1" applyAlignment="1">
      <alignment horizontal="center" wrapText="1"/>
    </xf>
    <xf numFmtId="0" fontId="36" fillId="0" borderId="19" xfId="8" quotePrefix="1" applyFont="1" applyBorder="1" applyAlignment="1">
      <alignment wrapText="1"/>
    </xf>
    <xf numFmtId="0" fontId="35" fillId="0" borderId="17" xfId="8" applyFont="1" applyBorder="1" applyAlignment="1">
      <alignment horizontal="left" wrapText="1" readingOrder="1"/>
    </xf>
    <xf numFmtId="0" fontId="35" fillId="0" borderId="67" xfId="8" applyFont="1" applyBorder="1" applyAlignment="1">
      <alignment wrapText="1"/>
    </xf>
    <xf numFmtId="0" fontId="35" fillId="0" borderId="65" xfId="8" applyFont="1" applyBorder="1" applyAlignment="1">
      <alignment horizontal="center" wrapText="1"/>
    </xf>
    <xf numFmtId="0" fontId="35" fillId="0" borderId="73" xfId="8" applyFont="1" applyBorder="1" applyAlignment="1">
      <alignment horizontal="center" wrapText="1"/>
    </xf>
    <xf numFmtId="0" fontId="35" fillId="0" borderId="49" xfId="8" applyFont="1" applyBorder="1" applyAlignment="1">
      <alignment horizontal="center" wrapText="1"/>
    </xf>
    <xf numFmtId="0" fontId="35" fillId="0" borderId="19" xfId="8" applyFont="1" applyBorder="1" applyAlignment="1">
      <alignment readingOrder="1"/>
    </xf>
    <xf numFmtId="0" fontId="35" fillId="0" borderId="73" xfId="8" applyFont="1" applyBorder="1" applyAlignment="1">
      <alignment wrapText="1" readingOrder="1"/>
    </xf>
    <xf numFmtId="0" fontId="36" fillId="0" borderId="19" xfId="8" applyFont="1" applyFill="1" applyBorder="1" applyAlignment="1">
      <alignment horizontal="left" wrapText="1"/>
    </xf>
    <xf numFmtId="0" fontId="36" fillId="0" borderId="17" xfId="8" quotePrefix="1" applyFont="1" applyBorder="1" applyAlignment="1">
      <alignment wrapText="1"/>
    </xf>
    <xf numFmtId="0" fontId="36" fillId="0" borderId="69" xfId="8" applyFont="1" applyBorder="1" applyAlignment="1">
      <alignment horizontal="center" wrapText="1"/>
    </xf>
    <xf numFmtId="0" fontId="36" fillId="0" borderId="69" xfId="8" quotePrefix="1" applyFont="1" applyBorder="1" applyAlignment="1">
      <alignment horizontal="center" wrapText="1"/>
    </xf>
    <xf numFmtId="0" fontId="36" fillId="0" borderId="19" xfId="8" quotePrefix="1" applyFont="1" applyFill="1" applyBorder="1" applyAlignment="1">
      <alignment horizontal="left" wrapText="1"/>
    </xf>
    <xf numFmtId="0" fontId="36" fillId="0" borderId="73" xfId="8" applyFont="1" applyFill="1" applyBorder="1" applyAlignment="1">
      <alignment horizontal="left" wrapText="1"/>
    </xf>
    <xf numFmtId="0" fontId="35" fillId="0" borderId="19" xfId="8" applyFont="1" applyFill="1" applyBorder="1" applyAlignment="1">
      <alignment readingOrder="1"/>
    </xf>
    <xf numFmtId="0" fontId="35" fillId="0" borderId="73" xfId="8" applyFont="1" applyFill="1" applyBorder="1" applyAlignment="1">
      <alignment wrapText="1" readingOrder="1"/>
    </xf>
    <xf numFmtId="0" fontId="36" fillId="0" borderId="70" xfId="8" applyFont="1" applyFill="1" applyBorder="1" applyAlignment="1">
      <alignment wrapText="1" readingOrder="1"/>
    </xf>
    <xf numFmtId="0" fontId="36" fillId="0" borderId="19" xfId="8" applyFont="1" applyBorder="1" applyAlignment="1">
      <alignment readingOrder="1"/>
    </xf>
    <xf numFmtId="0" fontId="36" fillId="0" borderId="88" xfId="8" applyFont="1" applyBorder="1" applyAlignment="1">
      <alignment horizontal="center" wrapText="1"/>
    </xf>
    <xf numFmtId="0" fontId="36" fillId="0" borderId="49" xfId="8" quotePrefix="1" applyFont="1" applyBorder="1" applyAlignment="1">
      <alignment horizontal="center" wrapText="1"/>
    </xf>
    <xf numFmtId="0" fontId="36" fillId="0" borderId="49" xfId="8" quotePrefix="1" applyFont="1" applyBorder="1" applyAlignment="1">
      <alignment wrapText="1"/>
    </xf>
    <xf numFmtId="0" fontId="36" fillId="0" borderId="49" xfId="8" applyFont="1" applyBorder="1" applyAlignment="1">
      <alignment horizontal="center" wrapText="1"/>
    </xf>
    <xf numFmtId="0" fontId="36" fillId="0" borderId="70" xfId="8" quotePrefix="1" applyFont="1" applyFill="1" applyBorder="1" applyAlignment="1">
      <alignment wrapText="1" readingOrder="1"/>
    </xf>
    <xf numFmtId="0" fontId="36" fillId="0" borderId="17" xfId="8" applyFont="1" applyBorder="1" applyAlignment="1">
      <alignment wrapText="1"/>
    </xf>
    <xf numFmtId="0" fontId="37" fillId="0" borderId="4" xfId="8" applyFont="1" applyBorder="1" applyAlignment="1">
      <alignment wrapText="1"/>
    </xf>
    <xf numFmtId="0" fontId="2" fillId="0" borderId="76" xfId="10" applyFont="1" applyBorder="1" applyAlignment="1"/>
    <xf numFmtId="0" fontId="2" fillId="0" borderId="0" xfId="10" applyFont="1" applyBorder="1" applyAlignment="1"/>
    <xf numFmtId="0" fontId="2" fillId="0" borderId="76" xfId="10" quotePrefix="1" applyFont="1" applyBorder="1" applyAlignment="1"/>
    <xf numFmtId="0" fontId="2" fillId="0" borderId="0" xfId="10" quotePrefix="1" applyFont="1" applyBorder="1" applyAlignment="1"/>
    <xf numFmtId="0" fontId="2" fillId="0" borderId="0" xfId="10" applyFont="1" applyBorder="1" applyAlignment="1">
      <alignment horizontal="left"/>
    </xf>
    <xf numFmtId="0" fontId="17" fillId="6" borderId="73" xfId="0" applyFont="1" applyFill="1" applyBorder="1" applyAlignment="1">
      <alignment readingOrder="1"/>
    </xf>
    <xf numFmtId="0" fontId="16" fillId="0" borderId="19" xfId="0" applyFont="1" applyFill="1" applyBorder="1" applyAlignment="1">
      <alignment wrapText="1" readingOrder="1"/>
    </xf>
    <xf numFmtId="165" fontId="5" fillId="0" borderId="87" xfId="0" applyNumberFormat="1" applyFont="1" applyBorder="1" applyAlignment="1">
      <alignment horizontal="center" wrapText="1"/>
    </xf>
    <xf numFmtId="165" fontId="8" fillId="0" borderId="87" xfId="0" applyNumberFormat="1" applyFont="1" applyBorder="1" applyAlignment="1">
      <alignment horizontal="center" wrapText="1"/>
    </xf>
    <xf numFmtId="0" fontId="5" fillId="0" borderId="19" xfId="0" applyFont="1" applyBorder="1"/>
    <xf numFmtId="43" fontId="8" fillId="0" borderId="19" xfId="0" applyNumberFormat="1" applyFont="1" applyBorder="1" applyAlignment="1">
      <alignment horizontal="center" wrapText="1"/>
    </xf>
    <xf numFmtId="43" fontId="30" fillId="0" borderId="19" xfId="0" applyNumberFormat="1" applyFont="1" applyBorder="1" applyAlignment="1">
      <alignment horizontal="center" wrapText="1"/>
    </xf>
    <xf numFmtId="43" fontId="30" fillId="0" borderId="17" xfId="0" applyNumberFormat="1" applyFont="1" applyBorder="1" applyAlignment="1">
      <alignment horizontal="center" wrapText="1"/>
    </xf>
    <xf numFmtId="43" fontId="8" fillId="0" borderId="18" xfId="0" applyNumberFormat="1" applyFont="1" applyFill="1" applyBorder="1" applyAlignment="1">
      <alignment horizontal="center" wrapText="1"/>
    </xf>
    <xf numFmtId="43" fontId="8" fillId="0" borderId="19" xfId="0" applyNumberFormat="1" applyFont="1" applyFill="1" applyBorder="1" applyAlignment="1">
      <alignment horizontal="center" wrapText="1"/>
    </xf>
    <xf numFmtId="165" fontId="8" fillId="0" borderId="87" xfId="0" applyNumberFormat="1" applyFont="1" applyFill="1" applyBorder="1" applyAlignment="1">
      <alignment horizontal="center" wrapText="1"/>
    </xf>
    <xf numFmtId="165" fontId="8" fillId="0" borderId="19" xfId="0" applyNumberFormat="1" applyFont="1" applyFill="1" applyBorder="1" applyAlignment="1">
      <alignment horizontal="center" wrapText="1"/>
    </xf>
    <xf numFmtId="165" fontId="5" fillId="0" borderId="87" xfId="0" applyNumberFormat="1" applyFont="1" applyFill="1" applyBorder="1" applyAlignment="1">
      <alignment horizontal="center" wrapText="1"/>
    </xf>
    <xf numFmtId="165" fontId="8" fillId="0" borderId="19" xfId="0" applyNumberFormat="1" applyFont="1" applyBorder="1" applyAlignment="1">
      <alignment horizontal="center" wrapText="1"/>
    </xf>
    <xf numFmtId="0" fontId="8" fillId="0" borderId="19" xfId="0" applyFont="1" applyBorder="1"/>
    <xf numFmtId="0" fontId="8" fillId="0" borderId="19" xfId="0" applyFont="1" applyBorder="1" applyAlignment="1">
      <alignment horizontal="center"/>
    </xf>
    <xf numFmtId="165" fontId="5" fillId="0" borderId="101" xfId="0" applyNumberFormat="1" applyFont="1" applyBorder="1" applyAlignment="1">
      <alignment horizontal="center" vertical="center"/>
    </xf>
    <xf numFmtId="0" fontId="8" fillId="0" borderId="17" xfId="0" applyFont="1" applyBorder="1" applyAlignment="1">
      <alignment horizontal="center" vertical="top" wrapText="1"/>
    </xf>
    <xf numFmtId="0" fontId="15" fillId="0" borderId="57"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7" fillId="6" borderId="19" xfId="0" quotePrefix="1" applyFont="1" applyFill="1" applyBorder="1" applyAlignment="1">
      <alignment horizontal="left" readingOrder="1"/>
    </xf>
    <xf numFmtId="3" fontId="8" fillId="0" borderId="0" xfId="9" applyNumberFormat="1" applyFont="1" applyBorder="1" applyAlignment="1"/>
    <xf numFmtId="0" fontId="40" fillId="0" borderId="0" xfId="0" applyFont="1"/>
    <xf numFmtId="0" fontId="41" fillId="0" borderId="0" xfId="0" applyFont="1"/>
    <xf numFmtId="165" fontId="40" fillId="0" borderId="0" xfId="1" applyNumberFormat="1" applyFont="1"/>
    <xf numFmtId="165" fontId="41" fillId="0" borderId="0" xfId="1" applyNumberFormat="1" applyFont="1"/>
    <xf numFmtId="165" fontId="42" fillId="0" borderId="0" xfId="1" applyNumberFormat="1" applyFont="1"/>
    <xf numFmtId="165" fontId="41" fillId="0" borderId="0" xfId="0" applyNumberFormat="1" applyFont="1"/>
    <xf numFmtId="0" fontId="12" fillId="0" borderId="74" xfId="0" applyFont="1" applyBorder="1"/>
    <xf numFmtId="0" fontId="8" fillId="0" borderId="75" xfId="0" quotePrefix="1" applyFont="1" applyBorder="1" applyAlignment="1">
      <alignment horizontal="center" wrapText="1"/>
    </xf>
    <xf numFmtId="0" fontId="8" fillId="0" borderId="73" xfId="0" quotePrefix="1" applyFont="1" applyBorder="1" applyAlignment="1">
      <alignment horizontal="left" vertical="top" wrapText="1" readingOrder="1"/>
    </xf>
    <xf numFmtId="0" fontId="1" fillId="0" borderId="0" xfId="0" applyFont="1"/>
    <xf numFmtId="0" fontId="1" fillId="0" borderId="0" xfId="0" applyFont="1" applyBorder="1" applyAlignment="1"/>
    <xf numFmtId="165" fontId="1" fillId="0" borderId="0" xfId="0" applyNumberFormat="1" applyFont="1"/>
    <xf numFmtId="0" fontId="1" fillId="0" borderId="0" xfId="0" applyFont="1" applyBorder="1" applyAlignment="1">
      <alignment horizontal="center"/>
    </xf>
    <xf numFmtId="0" fontId="1" fillId="0" borderId="81" xfId="0" applyFont="1" applyBorder="1"/>
    <xf numFmtId="0" fontId="1" fillId="0" borderId="82" xfId="0" applyFont="1" applyBorder="1" applyAlignment="1">
      <alignment wrapText="1"/>
    </xf>
    <xf numFmtId="0" fontId="8" fillId="0" borderId="70" xfId="0" applyFont="1" applyFill="1" applyBorder="1" applyAlignment="1">
      <alignment wrapText="1" readingOrder="1"/>
    </xf>
    <xf numFmtId="0" fontId="8" fillId="0" borderId="58" xfId="0" applyFont="1" applyFill="1" applyBorder="1" applyAlignment="1">
      <alignment horizontal="left" vertical="top" wrapText="1"/>
    </xf>
    <xf numFmtId="0" fontId="4" fillId="0" borderId="0" xfId="0" applyFont="1" applyBorder="1" applyAlignment="1">
      <alignment horizontal="justify" wrapText="1"/>
    </xf>
    <xf numFmtId="165" fontId="5" fillId="0" borderId="0" xfId="1" applyNumberFormat="1" applyFont="1" applyBorder="1" applyAlignment="1">
      <alignment horizontal="center"/>
    </xf>
    <xf numFmtId="43" fontId="15" fillId="0" borderId="0" xfId="1" applyFont="1" applyBorder="1"/>
    <xf numFmtId="165" fontId="8" fillId="0" borderId="0" xfId="1" applyNumberFormat="1" applyFont="1" applyBorder="1" applyAlignment="1">
      <alignment horizontal="center"/>
    </xf>
    <xf numFmtId="43" fontId="8" fillId="0" borderId="0" xfId="1" applyFont="1" applyBorder="1"/>
    <xf numFmtId="165" fontId="5" fillId="0" borderId="0" xfId="0" applyNumberFormat="1" applyFont="1" applyBorder="1" applyAlignment="1">
      <alignment horizontal="center" wrapText="1"/>
    </xf>
    <xf numFmtId="41" fontId="8" fillId="0" borderId="0" xfId="2" applyFont="1" applyBorder="1"/>
    <xf numFmtId="165" fontId="5" fillId="0" borderId="0" xfId="1" applyNumberFormat="1" applyFont="1" applyBorder="1"/>
    <xf numFmtId="41" fontId="8" fillId="0" borderId="0" xfId="2" applyFont="1" applyBorder="1" applyAlignment="1">
      <alignment horizontal="center"/>
    </xf>
    <xf numFmtId="41" fontId="32" fillId="0" borderId="0" xfId="2" applyFont="1" applyBorder="1"/>
    <xf numFmtId="165" fontId="5" fillId="0" borderId="76" xfId="1" applyNumberFormat="1" applyFont="1" applyBorder="1" applyAlignment="1"/>
    <xf numFmtId="165" fontId="8" fillId="0" borderId="0" xfId="1" applyNumberFormat="1" applyFont="1" applyBorder="1"/>
    <xf numFmtId="0" fontId="15" fillId="0" borderId="186" xfId="0" applyFont="1" applyBorder="1" applyAlignment="1">
      <alignment horizontal="center" wrapText="1"/>
    </xf>
    <xf numFmtId="0" fontId="8" fillId="0" borderId="73" xfId="0" applyFont="1" applyBorder="1" applyAlignment="1">
      <alignment horizontal="left" wrapText="1" readingOrder="1"/>
    </xf>
    <xf numFmtId="0" fontId="17" fillId="0" borderId="74" xfId="0" quotePrefix="1" applyFont="1" applyBorder="1" applyAlignment="1">
      <alignment readingOrder="1"/>
    </xf>
    <xf numFmtId="0" fontId="8" fillId="0" borderId="0" xfId="0" quotePrefix="1" applyFont="1" applyBorder="1" applyAlignment="1">
      <alignment readingOrder="1"/>
    </xf>
    <xf numFmtId="0" fontId="41" fillId="0" borderId="0" xfId="0" applyFont="1" applyAlignment="1">
      <alignment wrapText="1"/>
    </xf>
    <xf numFmtId="0" fontId="27" fillId="0" borderId="0" xfId="0" applyFont="1" applyBorder="1" applyAlignment="1">
      <alignment horizontal="left"/>
    </xf>
    <xf numFmtId="0" fontId="5" fillId="0" borderId="0" xfId="0" applyFont="1" applyBorder="1" applyAlignment="1">
      <alignment horizontal="left"/>
    </xf>
    <xf numFmtId="0" fontId="21" fillId="0" borderId="70" xfId="0" quotePrefix="1" applyFont="1" applyBorder="1" applyAlignment="1">
      <alignment readingOrder="1"/>
    </xf>
    <xf numFmtId="0" fontId="36" fillId="0" borderId="73" xfId="0" applyFont="1" applyBorder="1" applyAlignment="1">
      <alignment wrapText="1" readingOrder="1"/>
    </xf>
    <xf numFmtId="0" fontId="8" fillId="0" borderId="17" xfId="0" quotePrefix="1" applyFont="1" applyBorder="1" applyAlignment="1">
      <alignment horizontal="center"/>
    </xf>
    <xf numFmtId="0" fontId="4" fillId="0" borderId="0" xfId="0" applyFont="1" applyBorder="1" applyAlignment="1">
      <alignment wrapText="1"/>
    </xf>
    <xf numFmtId="0" fontId="8" fillId="6" borderId="19" xfId="0" applyFont="1" applyFill="1" applyBorder="1" applyAlignment="1">
      <alignment horizontal="left" wrapText="1"/>
    </xf>
    <xf numFmtId="0" fontId="4" fillId="0" borderId="122" xfId="0" applyFont="1" applyBorder="1" applyAlignment="1">
      <alignment wrapText="1"/>
    </xf>
    <xf numFmtId="41" fontId="4" fillId="0" borderId="0" xfId="2" applyFont="1" applyBorder="1" applyAlignment="1">
      <alignment horizontal="left"/>
    </xf>
    <xf numFmtId="0" fontId="35" fillId="0" borderId="19" xfId="8" applyFont="1" applyFill="1" applyBorder="1" applyAlignment="1">
      <alignment horizontal="left" wrapText="1"/>
    </xf>
    <xf numFmtId="0" fontId="36" fillId="0" borderId="19" xfId="8" quotePrefix="1" applyFont="1" applyBorder="1" applyAlignment="1">
      <alignment horizontal="center" wrapText="1"/>
    </xf>
    <xf numFmtId="0" fontId="36" fillId="0" borderId="19" xfId="8" applyFont="1" applyFill="1" applyBorder="1" applyAlignment="1">
      <alignment wrapText="1" readingOrder="1"/>
    </xf>
    <xf numFmtId="0" fontId="36" fillId="0" borderId="19" xfId="8" quotePrefix="1" applyFont="1" applyBorder="1" applyAlignment="1">
      <alignment readingOrder="1"/>
    </xf>
    <xf numFmtId="0" fontId="36" fillId="0" borderId="19" xfId="8" quotePrefix="1" applyFont="1" applyFill="1" applyBorder="1" applyAlignment="1">
      <alignment readingOrder="1"/>
    </xf>
    <xf numFmtId="0" fontId="36" fillId="0" borderId="26" xfId="8" applyFont="1" applyBorder="1" applyAlignment="1">
      <alignment horizontal="center" wrapText="1"/>
    </xf>
    <xf numFmtId="0" fontId="36" fillId="0" borderId="26" xfId="8" applyFont="1" applyBorder="1" applyAlignment="1">
      <alignment wrapText="1"/>
    </xf>
    <xf numFmtId="0" fontId="36" fillId="0" borderId="20" xfId="8" applyFont="1" applyBorder="1" applyAlignment="1">
      <alignment wrapText="1"/>
    </xf>
    <xf numFmtId="21" fontId="4" fillId="0" borderId="4" xfId="0" applyNumberFormat="1" applyFont="1" applyBorder="1" applyAlignment="1">
      <alignment horizontal="left" wrapText="1"/>
    </xf>
    <xf numFmtId="0" fontId="8" fillId="0" borderId="84" xfId="0" applyFont="1" applyBorder="1" applyAlignment="1">
      <alignment horizontal="center" wrapText="1"/>
    </xf>
    <xf numFmtId="0" fontId="8" fillId="0" borderId="16" xfId="0" quotePrefix="1" applyFont="1" applyBorder="1" applyAlignment="1">
      <alignment horizontal="center" wrapText="1"/>
    </xf>
    <xf numFmtId="0" fontId="8" fillId="0" borderId="24" xfId="0" applyFont="1" applyBorder="1" applyAlignment="1">
      <alignment wrapText="1"/>
    </xf>
    <xf numFmtId="0" fontId="8" fillId="0" borderId="16" xfId="0" applyFont="1" applyBorder="1" applyAlignment="1">
      <alignment horizontal="center" wrapText="1"/>
    </xf>
    <xf numFmtId="0" fontId="8" fillId="0" borderId="24" xfId="0" applyFont="1" applyBorder="1" applyAlignment="1">
      <alignment horizontal="center" wrapText="1"/>
    </xf>
    <xf numFmtId="0" fontId="5" fillId="0" borderId="24" xfId="0" applyFont="1" applyBorder="1" applyAlignment="1">
      <alignment horizontal="left" wrapText="1"/>
    </xf>
    <xf numFmtId="165" fontId="5" fillId="0" borderId="85" xfId="0" applyNumberFormat="1" applyFont="1" applyBorder="1" applyAlignment="1">
      <alignment horizontal="center" wrapText="1"/>
    </xf>
    <xf numFmtId="165" fontId="8" fillId="0" borderId="18" xfId="1" applyNumberFormat="1" applyFont="1" applyBorder="1" applyAlignment="1">
      <alignment horizontal="center" wrapText="1"/>
    </xf>
    <xf numFmtId="0" fontId="16" fillId="0" borderId="19" xfId="0" applyFont="1" applyBorder="1"/>
    <xf numFmtId="0" fontId="17" fillId="0" borderId="19" xfId="0" applyFont="1" applyBorder="1"/>
    <xf numFmtId="43" fontId="8" fillId="0" borderId="17" xfId="0" applyNumberFormat="1" applyFont="1" applyFill="1" applyBorder="1" applyAlignment="1">
      <alignment horizontal="center" wrapText="1"/>
    </xf>
    <xf numFmtId="0" fontId="17" fillId="0" borderId="19" xfId="0" quotePrefix="1" applyFont="1" applyBorder="1"/>
    <xf numFmtId="0" fontId="8" fillId="0" borderId="17" xfId="0" applyFont="1" applyFill="1" applyBorder="1" applyAlignment="1">
      <alignment horizontal="left" wrapText="1"/>
    </xf>
    <xf numFmtId="0" fontId="43" fillId="0" borderId="19" xfId="0" applyFont="1" applyBorder="1" applyAlignment="1">
      <alignment horizontal="center"/>
    </xf>
    <xf numFmtId="41" fontId="43" fillId="0" borderId="19" xfId="2" applyFont="1" applyBorder="1" applyAlignment="1">
      <alignment horizontal="center"/>
    </xf>
    <xf numFmtId="41" fontId="8" fillId="0" borderId="19" xfId="2" applyFont="1" applyBorder="1"/>
    <xf numFmtId="0" fontId="17" fillId="0" borderId="19" xfId="0" applyFont="1" applyBorder="1" applyAlignment="1">
      <alignment horizontal="center"/>
    </xf>
    <xf numFmtId="0" fontId="29" fillId="0" borderId="19" xfId="0" applyFont="1" applyBorder="1" applyAlignment="1">
      <alignment horizontal="center"/>
    </xf>
    <xf numFmtId="41" fontId="17" fillId="0" borderId="19" xfId="2" applyFont="1" applyBorder="1" applyAlignment="1">
      <alignment horizontal="center"/>
    </xf>
    <xf numFmtId="41" fontId="17" fillId="0" borderId="19" xfId="2" applyFont="1" applyBorder="1"/>
    <xf numFmtId="0" fontId="17" fillId="0" borderId="18" xfId="0" applyFont="1" applyBorder="1" applyAlignment="1">
      <alignment horizontal="center"/>
    </xf>
    <xf numFmtId="41" fontId="17" fillId="0" borderId="18" xfId="2" applyFont="1" applyBorder="1" applyAlignment="1">
      <alignment horizontal="center"/>
    </xf>
    <xf numFmtId="41" fontId="29" fillId="0" borderId="19" xfId="2" applyFont="1" applyBorder="1" applyAlignment="1">
      <alignment horizontal="center"/>
    </xf>
    <xf numFmtId="41" fontId="17" fillId="0" borderId="19" xfId="2" applyFont="1" applyFill="1" applyBorder="1" applyAlignment="1">
      <alignment horizontal="center"/>
    </xf>
    <xf numFmtId="0" fontId="8" fillId="0" borderId="86" xfId="0" applyFont="1" applyBorder="1" applyAlignment="1">
      <alignment horizontal="center" vertical="center" wrapText="1"/>
    </xf>
    <xf numFmtId="0" fontId="8" fillId="0" borderId="17" xfId="0" quotePrefix="1" applyFont="1" applyBorder="1" applyAlignment="1">
      <alignment horizontal="center" vertical="center" wrapText="1"/>
    </xf>
    <xf numFmtId="0" fontId="8" fillId="0" borderId="19" xfId="0" quotePrefix="1" applyFont="1" applyBorder="1" applyAlignment="1">
      <alignment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16" fillId="0" borderId="19" xfId="0" applyFont="1" applyBorder="1" applyAlignment="1">
      <alignment vertical="center" wrapText="1" readingOrder="1"/>
    </xf>
    <xf numFmtId="43" fontId="8" fillId="0" borderId="17" xfId="0" applyNumberFormat="1" applyFont="1" applyFill="1" applyBorder="1" applyAlignment="1">
      <alignment horizontal="center" vertical="center" wrapText="1"/>
    </xf>
    <xf numFmtId="43" fontId="8" fillId="0" borderId="18" xfId="0" applyNumberFormat="1" applyFont="1" applyFill="1" applyBorder="1" applyAlignment="1">
      <alignment horizontal="center" vertical="center" wrapText="1"/>
    </xf>
    <xf numFmtId="165" fontId="8" fillId="0" borderId="19" xfId="0" applyNumberFormat="1" applyFont="1" applyFill="1" applyBorder="1" applyAlignment="1">
      <alignment horizontal="center" vertical="center" wrapText="1"/>
    </xf>
    <xf numFmtId="165" fontId="5" fillId="0" borderId="87" xfId="0" applyNumberFormat="1" applyFont="1" applyFill="1" applyBorder="1" applyAlignment="1">
      <alignment horizontal="center" vertical="center" wrapText="1"/>
    </xf>
    <xf numFmtId="0" fontId="29" fillId="0" borderId="19" xfId="0" quotePrefix="1" applyFont="1" applyBorder="1"/>
    <xf numFmtId="41" fontId="29" fillId="0" borderId="19" xfId="2" applyFont="1" applyBorder="1"/>
    <xf numFmtId="0" fontId="8" fillId="0" borderId="18" xfId="0" applyFont="1" applyBorder="1" applyAlignment="1">
      <alignment horizontal="center"/>
    </xf>
    <xf numFmtId="0" fontId="8" fillId="0" borderId="26" xfId="0" applyFont="1" applyBorder="1"/>
    <xf numFmtId="0" fontId="8" fillId="0" borderId="26" xfId="0" applyFont="1" applyBorder="1" applyAlignment="1">
      <alignment horizontal="center"/>
    </xf>
    <xf numFmtId="41" fontId="8" fillId="0" borderId="26" xfId="2" applyFont="1" applyBorder="1"/>
    <xf numFmtId="166" fontId="34" fillId="0" borderId="4" xfId="8" applyNumberFormat="1" applyFont="1" applyBorder="1" applyAlignment="1">
      <alignment wrapText="1"/>
    </xf>
    <xf numFmtId="166" fontId="34" fillId="0" borderId="4" xfId="0" applyNumberFormat="1" applyFont="1" applyBorder="1" applyAlignment="1">
      <alignment wrapText="1"/>
    </xf>
    <xf numFmtId="0" fontId="8" fillId="0" borderId="69" xfId="0" applyFont="1" applyBorder="1" applyAlignment="1">
      <alignment horizontal="center" wrapText="1"/>
    </xf>
    <xf numFmtId="0" fontId="5" fillId="0" borderId="188" xfId="0" applyFont="1" applyBorder="1" applyAlignment="1">
      <alignment horizontal="center" wrapText="1"/>
    </xf>
    <xf numFmtId="0" fontId="5" fillId="0" borderId="120" xfId="0" applyFont="1" applyBorder="1" applyAlignment="1">
      <alignment horizontal="center" wrapText="1"/>
    </xf>
    <xf numFmtId="0" fontId="32" fillId="0" borderId="189" xfId="0" applyFont="1" applyBorder="1" applyAlignment="1">
      <alignment horizontal="center" wrapText="1"/>
    </xf>
    <xf numFmtId="0" fontId="8" fillId="0" borderId="191" xfId="0" applyFont="1" applyBorder="1" applyAlignment="1">
      <alignment horizontal="center" wrapText="1"/>
    </xf>
    <xf numFmtId="0" fontId="8" fillId="0" borderId="139" xfId="0" quotePrefix="1" applyFont="1" applyBorder="1" applyAlignment="1">
      <alignment horizontal="center" wrapText="1"/>
    </xf>
    <xf numFmtId="0" fontId="8" fillId="0" borderId="139" xfId="0" quotePrefix="1" applyFont="1" applyBorder="1" applyAlignment="1">
      <alignment wrapText="1"/>
    </xf>
    <xf numFmtId="0" fontId="8" fillId="0" borderId="139" xfId="0" applyFont="1" applyBorder="1" applyAlignment="1">
      <alignment horizontal="center" wrapText="1"/>
    </xf>
    <xf numFmtId="0" fontId="32" fillId="0" borderId="139" xfId="0" applyFont="1" applyBorder="1" applyAlignment="1">
      <alignment horizontal="center" wrapText="1"/>
    </xf>
    <xf numFmtId="0" fontId="5" fillId="0" borderId="139" xfId="0" applyFont="1" applyBorder="1" applyAlignment="1">
      <alignment wrapText="1"/>
    </xf>
    <xf numFmtId="0" fontId="5" fillId="0" borderId="139" xfId="0" applyFont="1" applyBorder="1" applyAlignment="1">
      <alignment horizontal="center" wrapText="1"/>
    </xf>
    <xf numFmtId="0" fontId="32" fillId="0" borderId="139" xfId="0" quotePrefix="1" applyFont="1" applyBorder="1" applyAlignment="1">
      <alignment horizontal="center" wrapText="1"/>
    </xf>
    <xf numFmtId="0" fontId="5" fillId="0" borderId="139" xfId="0" applyFont="1" applyBorder="1" applyAlignment="1">
      <alignment readingOrder="1"/>
    </xf>
    <xf numFmtId="0" fontId="16" fillId="0" borderId="139" xfId="0" applyFont="1" applyBorder="1" applyAlignment="1">
      <alignment wrapText="1" readingOrder="1"/>
    </xf>
    <xf numFmtId="0" fontId="8" fillId="0" borderId="139" xfId="0" applyFont="1" applyBorder="1" applyAlignment="1">
      <alignment readingOrder="1"/>
    </xf>
    <xf numFmtId="0" fontId="16" fillId="0" borderId="139" xfId="0" applyFont="1" applyFill="1" applyBorder="1" applyAlignment="1">
      <alignment readingOrder="1"/>
    </xf>
    <xf numFmtId="0" fontId="16" fillId="0" borderId="139" xfId="0" applyFont="1" applyFill="1" applyBorder="1" applyAlignment="1">
      <alignment wrapText="1" readingOrder="1"/>
    </xf>
    <xf numFmtId="0" fontId="17" fillId="0" borderId="139" xfId="0" applyFont="1" applyFill="1" applyBorder="1" applyAlignment="1">
      <alignment wrapText="1" readingOrder="1"/>
    </xf>
    <xf numFmtId="0" fontId="8" fillId="0" borderId="139" xfId="0" applyFont="1" applyFill="1" applyBorder="1" applyAlignment="1">
      <alignment wrapText="1" readingOrder="1"/>
    </xf>
    <xf numFmtId="0" fontId="8" fillId="0" borderId="139" xfId="0" quotePrefix="1" applyFont="1" applyFill="1" applyBorder="1" applyAlignment="1">
      <alignment wrapText="1" readingOrder="1"/>
    </xf>
    <xf numFmtId="0" fontId="4" fillId="0" borderId="17" xfId="0" applyFont="1" applyFill="1" applyBorder="1" applyAlignment="1"/>
    <xf numFmtId="0" fontId="3" fillId="0" borderId="63" xfId="0" applyFont="1" applyFill="1" applyBorder="1" applyAlignment="1">
      <alignment horizontal="center"/>
    </xf>
    <xf numFmtId="0" fontId="4" fillId="0" borderId="146" xfId="0" applyFont="1" applyFill="1" applyBorder="1" applyAlignment="1"/>
    <xf numFmtId="0" fontId="4" fillId="0" borderId="146" xfId="0" applyFont="1" applyFill="1" applyBorder="1" applyAlignment="1">
      <alignment wrapText="1"/>
    </xf>
    <xf numFmtId="0" fontId="4" fillId="0" borderId="146" xfId="0" applyFont="1" applyBorder="1" applyAlignment="1">
      <alignment wrapText="1"/>
    </xf>
    <xf numFmtId="0" fontId="4" fillId="0" borderId="146" xfId="0" applyFont="1" applyBorder="1" applyAlignment="1"/>
    <xf numFmtId="166" fontId="4" fillId="0" borderId="4" xfId="0" applyNumberFormat="1" applyFont="1" applyBorder="1" applyAlignment="1">
      <alignment horizontal="left" wrapText="1"/>
    </xf>
    <xf numFmtId="0" fontId="36" fillId="6" borderId="73" xfId="0" applyFont="1" applyFill="1" applyBorder="1" applyAlignment="1">
      <alignment wrapText="1" readingOrder="1"/>
    </xf>
    <xf numFmtId="0" fontId="35" fillId="0" borderId="73" xfId="0" applyFont="1" applyBorder="1" applyAlignment="1">
      <alignment wrapText="1" readingOrder="1"/>
    </xf>
    <xf numFmtId="0" fontId="8" fillId="0" borderId="0" xfId="0" quotePrefix="1" applyFont="1" applyBorder="1" applyAlignment="1">
      <alignment horizontal="left" wrapText="1"/>
    </xf>
    <xf numFmtId="0" fontId="5" fillId="0" borderId="0" xfId="0" applyFont="1" applyBorder="1" applyAlignment="1">
      <alignment readingOrder="1"/>
    </xf>
    <xf numFmtId="0" fontId="8" fillId="0" borderId="0" xfId="0" applyFont="1" applyBorder="1" applyAlignment="1">
      <alignment readingOrder="1"/>
    </xf>
    <xf numFmtId="43" fontId="2" fillId="0" borderId="0" xfId="0" applyNumberFormat="1" applyFont="1" applyBorder="1" applyAlignment="1">
      <alignment wrapText="1"/>
    </xf>
    <xf numFmtId="43" fontId="2" fillId="0" borderId="0" xfId="0" applyNumberFormat="1" applyFont="1" applyFill="1" applyBorder="1" applyAlignment="1">
      <alignment horizontal="center" wrapText="1"/>
    </xf>
    <xf numFmtId="0" fontId="17" fillId="0" borderId="0" xfId="0" applyFont="1" applyBorder="1" applyAlignment="1">
      <alignment readingOrder="1"/>
    </xf>
    <xf numFmtId="0" fontId="36" fillId="0" borderId="0" xfId="8" quotePrefix="1" applyFont="1" applyFill="1" applyBorder="1" applyAlignment="1">
      <alignment wrapText="1" readingOrder="1"/>
    </xf>
    <xf numFmtId="49" fontId="36" fillId="0" borderId="19" xfId="8" applyNumberFormat="1" applyFont="1" applyFill="1" applyBorder="1" applyAlignment="1">
      <alignment horizontal="left" wrapText="1"/>
    </xf>
    <xf numFmtId="0" fontId="32" fillId="0" borderId="139" xfId="0" applyFont="1" applyFill="1" applyBorder="1" applyAlignment="1">
      <alignment horizontal="left" wrapText="1"/>
    </xf>
    <xf numFmtId="0" fontId="36" fillId="6" borderId="86" xfId="8" applyFont="1" applyFill="1" applyBorder="1" applyAlignment="1">
      <alignment horizontal="center" wrapText="1"/>
    </xf>
    <xf numFmtId="0" fontId="36" fillId="6" borderId="17" xfId="8" quotePrefix="1" applyFont="1" applyFill="1" applyBorder="1" applyAlignment="1">
      <alignment horizontal="center" wrapText="1"/>
    </xf>
    <xf numFmtId="0" fontId="36" fillId="6" borderId="19" xfId="8" applyFont="1" applyFill="1" applyBorder="1" applyAlignment="1">
      <alignment horizontal="center" wrapText="1"/>
    </xf>
    <xf numFmtId="0" fontId="36" fillId="6" borderId="17" xfId="8" applyFont="1" applyFill="1" applyBorder="1" applyAlignment="1">
      <alignment horizontal="center" wrapText="1"/>
    </xf>
    <xf numFmtId="0" fontId="35" fillId="6" borderId="19" xfId="8" applyFont="1" applyFill="1" applyBorder="1" applyAlignment="1">
      <alignment readingOrder="1"/>
    </xf>
    <xf numFmtId="0" fontId="35" fillId="6" borderId="73" xfId="8" applyFont="1" applyFill="1" applyBorder="1" applyAlignment="1">
      <alignment wrapText="1" readingOrder="1"/>
    </xf>
    <xf numFmtId="0" fontId="36" fillId="6" borderId="19" xfId="8" applyFont="1" applyFill="1" applyBorder="1" applyAlignment="1">
      <alignment horizontal="left" wrapText="1"/>
    </xf>
    <xf numFmtId="0" fontId="36" fillId="6" borderId="17" xfId="8" quotePrefix="1" applyFont="1" applyFill="1" applyBorder="1" applyAlignment="1">
      <alignment wrapText="1"/>
    </xf>
    <xf numFmtId="0" fontId="36" fillId="6" borderId="69" xfId="8" applyFont="1" applyFill="1" applyBorder="1" applyAlignment="1">
      <alignment horizontal="center" wrapText="1"/>
    </xf>
    <xf numFmtId="0" fontId="36" fillId="6" borderId="69" xfId="8" quotePrefix="1" applyFont="1" applyFill="1" applyBorder="1" applyAlignment="1">
      <alignment horizontal="center" wrapText="1"/>
    </xf>
    <xf numFmtId="0" fontId="8" fillId="6" borderId="86" xfId="0" applyFont="1" applyFill="1" applyBorder="1" applyAlignment="1">
      <alignment horizontal="center" wrapText="1"/>
    </xf>
    <xf numFmtId="0" fontId="8" fillId="6" borderId="17" xfId="0" quotePrefix="1" applyFont="1" applyFill="1" applyBorder="1" applyAlignment="1">
      <alignment horizontal="center" wrapText="1"/>
    </xf>
    <xf numFmtId="0" fontId="8" fillId="6" borderId="17" xfId="0" applyFont="1" applyFill="1" applyBorder="1" applyAlignment="1">
      <alignment horizontal="center" wrapText="1"/>
    </xf>
    <xf numFmtId="0" fontId="5" fillId="6" borderId="73" xfId="0" applyFont="1" applyFill="1" applyBorder="1" applyAlignment="1">
      <alignment horizontal="center" wrapText="1"/>
    </xf>
    <xf numFmtId="0" fontId="5" fillId="6" borderId="49" xfId="0" applyFont="1" applyFill="1" applyBorder="1" applyAlignment="1">
      <alignment horizontal="center" wrapText="1"/>
    </xf>
    <xf numFmtId="0" fontId="8" fillId="6" borderId="17" xfId="0" quotePrefix="1" applyFont="1" applyFill="1" applyBorder="1" applyAlignment="1">
      <alignment wrapText="1"/>
    </xf>
    <xf numFmtId="0" fontId="8" fillId="6" borderId="73" xfId="0" applyFont="1" applyFill="1" applyBorder="1" applyAlignment="1">
      <alignment readingOrder="1"/>
    </xf>
    <xf numFmtId="0" fontId="8" fillId="0" borderId="17" xfId="0" quotePrefix="1" applyFont="1" applyFill="1" applyBorder="1" applyAlignment="1">
      <alignment horizontal="center" wrapText="1"/>
    </xf>
    <xf numFmtId="0" fontId="8" fillId="0" borderId="19" xfId="0" quotePrefix="1" applyFont="1" applyFill="1" applyBorder="1" applyAlignment="1">
      <alignment wrapText="1"/>
    </xf>
    <xf numFmtId="0" fontId="8" fillId="0" borderId="17" xfId="0" quotePrefix="1" applyFont="1" applyFill="1" applyBorder="1" applyAlignment="1">
      <alignment wrapText="1"/>
    </xf>
    <xf numFmtId="0" fontId="8" fillId="0" borderId="69" xfId="0" applyFont="1" applyFill="1" applyBorder="1" applyAlignment="1">
      <alignment horizontal="center" wrapText="1"/>
    </xf>
    <xf numFmtId="0" fontId="8" fillId="0" borderId="69" xfId="0" quotePrefix="1" applyFont="1" applyFill="1" applyBorder="1" applyAlignment="1">
      <alignment horizontal="center" wrapText="1"/>
    </xf>
    <xf numFmtId="0" fontId="8" fillId="0" borderId="73" xfId="0" applyFont="1" applyFill="1" applyBorder="1" applyAlignment="1">
      <alignment horizontal="left" wrapText="1"/>
    </xf>
    <xf numFmtId="0" fontId="8" fillId="0" borderId="73" xfId="0" applyFont="1" applyFill="1" applyBorder="1" applyAlignment="1">
      <alignment wrapText="1" readingOrder="1"/>
    </xf>
    <xf numFmtId="0" fontId="8" fillId="0" borderId="73" xfId="0" quotePrefix="1" applyFont="1" applyFill="1" applyBorder="1" applyAlignment="1">
      <alignment horizontal="left" wrapText="1"/>
    </xf>
    <xf numFmtId="0" fontId="17" fillId="6" borderId="19" xfId="0" applyFont="1" applyFill="1" applyBorder="1" applyAlignment="1">
      <alignment readingOrder="1"/>
    </xf>
    <xf numFmtId="0" fontId="8" fillId="0" borderId="139" xfId="0" quotePrefix="1" applyFont="1" applyFill="1" applyBorder="1" applyAlignment="1">
      <alignment horizontal="left" wrapText="1"/>
    </xf>
    <xf numFmtId="0" fontId="8" fillId="0" borderId="17" xfId="0" applyFont="1" applyBorder="1" applyAlignment="1">
      <alignment vertical="center" wrapText="1"/>
    </xf>
    <xf numFmtId="0" fontId="35" fillId="0" borderId="17" xfId="8" applyFont="1" applyBorder="1" applyAlignment="1">
      <alignment readingOrder="1"/>
    </xf>
    <xf numFmtId="0" fontId="35" fillId="0" borderId="49" xfId="8" applyFont="1" applyBorder="1" applyAlignment="1">
      <alignment wrapText="1" readingOrder="1"/>
    </xf>
    <xf numFmtId="0" fontId="36" fillId="0" borderId="17" xfId="8" applyFont="1" applyFill="1" applyBorder="1" applyAlignment="1">
      <alignment horizontal="left" wrapText="1"/>
    </xf>
    <xf numFmtId="0" fontId="36" fillId="0" borderId="17" xfId="8" quotePrefix="1" applyFont="1" applyFill="1" applyBorder="1" applyAlignment="1">
      <alignment horizontal="left" wrapText="1"/>
    </xf>
    <xf numFmtId="0" fontId="36" fillId="0" borderId="49" xfId="8" applyFont="1" applyFill="1" applyBorder="1" applyAlignment="1">
      <alignment horizontal="left" wrapText="1"/>
    </xf>
    <xf numFmtId="0" fontId="35" fillId="0" borderId="17" xfId="8" applyFont="1" applyFill="1" applyBorder="1" applyAlignment="1">
      <alignment readingOrder="1"/>
    </xf>
    <xf numFmtId="0" fontId="35" fillId="0" borderId="49" xfId="8" applyFont="1" applyFill="1" applyBorder="1" applyAlignment="1">
      <alignment wrapText="1" readingOrder="1"/>
    </xf>
    <xf numFmtId="0" fontId="36" fillId="0" borderId="72" xfId="8" applyFont="1" applyFill="1" applyBorder="1" applyAlignment="1">
      <alignment wrapText="1" readingOrder="1"/>
    </xf>
    <xf numFmtId="0" fontId="36" fillId="0" borderId="17" xfId="8" quotePrefix="1" applyFont="1" applyBorder="1" applyAlignment="1">
      <alignment readingOrder="1"/>
    </xf>
    <xf numFmtId="0" fontId="36" fillId="0" borderId="17" xfId="8" quotePrefix="1" applyFont="1" applyFill="1" applyBorder="1" applyAlignment="1">
      <alignment readingOrder="1"/>
    </xf>
    <xf numFmtId="0" fontId="36" fillId="0" borderId="49" xfId="8" applyFont="1" applyBorder="1" applyAlignment="1">
      <alignment horizontal="left" wrapText="1"/>
    </xf>
    <xf numFmtId="0" fontId="36" fillId="0" borderId="72" xfId="8" quotePrefix="1" applyFont="1" applyFill="1" applyBorder="1" applyAlignment="1">
      <alignment wrapText="1" readingOrder="1"/>
    </xf>
    <xf numFmtId="0" fontId="36" fillId="0" borderId="73" xfId="8" quotePrefix="1" applyFont="1" applyBorder="1" applyAlignment="1">
      <alignment horizontal="center" wrapText="1"/>
    </xf>
    <xf numFmtId="0" fontId="36" fillId="0" borderId="55" xfId="8" applyFont="1" applyBorder="1" applyAlignment="1">
      <alignment wrapText="1"/>
    </xf>
    <xf numFmtId="0" fontId="4" fillId="0" borderId="4" xfId="0" applyFont="1" applyFill="1" applyBorder="1" applyAlignment="1">
      <alignment horizontal="left" vertical="center" wrapText="1"/>
    </xf>
    <xf numFmtId="0" fontId="34" fillId="0" borderId="4" xfId="8" applyFont="1" applyFill="1" applyBorder="1" applyAlignment="1">
      <alignment vertical="center" wrapText="1"/>
    </xf>
    <xf numFmtId="0" fontId="37" fillId="0" borderId="19" xfId="8" applyFont="1" applyBorder="1" applyAlignment="1">
      <alignment vertical="top" wrapText="1"/>
    </xf>
    <xf numFmtId="0" fontId="5" fillId="0" borderId="197" xfId="0" applyFont="1" applyBorder="1" applyAlignment="1">
      <alignment horizontal="left" wrapText="1"/>
    </xf>
    <xf numFmtId="0" fontId="5" fillId="0" borderId="197" xfId="0" applyFont="1" applyBorder="1" applyAlignment="1">
      <alignment wrapText="1"/>
    </xf>
    <xf numFmtId="0" fontId="5" fillId="0" borderId="197" xfId="0" applyFont="1" applyBorder="1" applyAlignment="1">
      <alignment horizontal="center" wrapText="1"/>
    </xf>
    <xf numFmtId="0" fontId="35" fillId="0" borderId="198" xfId="8" applyFont="1" applyBorder="1" applyAlignment="1">
      <alignment wrapText="1"/>
    </xf>
    <xf numFmtId="0" fontId="35" fillId="0" borderId="132" xfId="8" applyFont="1" applyBorder="1" applyAlignment="1">
      <alignment horizontal="center" wrapText="1"/>
    </xf>
    <xf numFmtId="0" fontId="36" fillId="0" borderId="19" xfId="8" applyFont="1" applyBorder="1" applyAlignment="1">
      <alignment horizontal="center" vertical="center" wrapText="1"/>
    </xf>
    <xf numFmtId="0" fontId="36" fillId="0" borderId="17" xfId="8" applyFont="1" applyBorder="1" applyAlignment="1">
      <alignment horizontal="center" vertical="center" wrapText="1"/>
    </xf>
    <xf numFmtId="0" fontId="32" fillId="0" borderId="196"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49" xfId="0" quotePrefix="1" applyFont="1" applyBorder="1" applyAlignment="1">
      <alignment horizontal="center" vertical="center" wrapText="1"/>
    </xf>
    <xf numFmtId="0" fontId="5" fillId="0" borderId="18" xfId="0" applyFont="1" applyBorder="1" applyAlignment="1">
      <alignment horizontal="left" vertical="top" wrapText="1"/>
    </xf>
    <xf numFmtId="0" fontId="36" fillId="0" borderId="86" xfId="8" applyFont="1" applyBorder="1" applyAlignment="1">
      <alignment horizontal="center" vertical="center" wrapText="1"/>
    </xf>
    <xf numFmtId="0" fontId="36" fillId="0" borderId="17" xfId="8" quotePrefix="1" applyFont="1" applyBorder="1" applyAlignment="1">
      <alignment horizontal="center" vertical="center" wrapText="1"/>
    </xf>
    <xf numFmtId="0" fontId="36" fillId="0" borderId="19" xfId="8" quotePrefix="1" applyFont="1" applyBorder="1" applyAlignment="1">
      <alignment vertical="center" wrapText="1"/>
    </xf>
    <xf numFmtId="0" fontId="35" fillId="0" borderId="49" xfId="8" applyFont="1" applyBorder="1" applyAlignment="1">
      <alignment horizontal="left" wrapText="1"/>
    </xf>
    <xf numFmtId="0" fontId="5" fillId="0" borderId="73" xfId="0" applyFont="1" applyBorder="1" applyAlignment="1">
      <alignment horizontal="left" wrapText="1"/>
    </xf>
    <xf numFmtId="0" fontId="5" fillId="0" borderId="75" xfId="0" applyFont="1" applyBorder="1" applyAlignment="1">
      <alignment vertical="top" wrapText="1"/>
    </xf>
    <xf numFmtId="0" fontId="35" fillId="0" borderId="18" xfId="8" applyFont="1" applyBorder="1" applyAlignment="1">
      <alignment vertical="top" wrapText="1"/>
    </xf>
    <xf numFmtId="0" fontId="36" fillId="0" borderId="19" xfId="8" quotePrefix="1" applyFont="1" applyBorder="1" applyAlignment="1">
      <alignment horizontal="center" vertical="center" wrapText="1"/>
    </xf>
    <xf numFmtId="0" fontId="35" fillId="0" borderId="74" xfId="8" applyFont="1" applyBorder="1" applyAlignment="1">
      <alignment wrapText="1"/>
    </xf>
    <xf numFmtId="0" fontId="35" fillId="0" borderId="19" xfId="8" applyFont="1" applyBorder="1" applyAlignment="1">
      <alignment vertical="top" wrapText="1"/>
    </xf>
    <xf numFmtId="0" fontId="5" fillId="0" borderId="75" xfId="0" applyFont="1" applyBorder="1" applyAlignment="1">
      <alignment horizontal="center" wrapText="1"/>
    </xf>
    <xf numFmtId="0" fontId="5" fillId="0" borderId="18" xfId="0" applyFont="1" applyBorder="1" applyAlignment="1">
      <alignment vertical="center" wrapText="1"/>
    </xf>
    <xf numFmtId="0" fontId="16" fillId="0" borderId="19" xfId="0" quotePrefix="1" applyFont="1" applyBorder="1"/>
    <xf numFmtId="0" fontId="8" fillId="0" borderId="19" xfId="0" applyFont="1" applyBorder="1" applyAlignment="1">
      <alignment horizontal="center" vertical="center"/>
    </xf>
    <xf numFmtId="41" fontId="8" fillId="0" borderId="19" xfId="2" applyFont="1" applyBorder="1" applyAlignment="1">
      <alignment horizontal="center" vertical="center"/>
    </xf>
    <xf numFmtId="41" fontId="8" fillId="0" borderId="19" xfId="2" applyFont="1" applyBorder="1" applyAlignment="1">
      <alignment vertical="center"/>
    </xf>
    <xf numFmtId="165" fontId="8" fillId="0" borderId="87" xfId="0" applyNumberFormat="1" applyFont="1" applyFill="1" applyBorder="1" applyAlignment="1">
      <alignment horizontal="center" vertical="center" wrapText="1"/>
    </xf>
    <xf numFmtId="41" fontId="0" fillId="0" borderId="0" xfId="13" applyFont="1"/>
    <xf numFmtId="165" fontId="2" fillId="0" borderId="0" xfId="11" applyNumberFormat="1" applyFont="1" applyBorder="1" applyAlignment="1">
      <alignment wrapText="1"/>
    </xf>
    <xf numFmtId="165" fontId="2" fillId="0" borderId="0" xfId="11" applyNumberFormat="1" applyFont="1" applyBorder="1" applyAlignment="1">
      <alignment horizontal="center" wrapText="1"/>
    </xf>
    <xf numFmtId="165" fontId="2" fillId="0" borderId="0" xfId="11" applyNumberFormat="1" applyFont="1" applyFill="1" applyBorder="1" applyAlignment="1">
      <alignment horizontal="center" wrapText="1"/>
    </xf>
    <xf numFmtId="0" fontId="8" fillId="0" borderId="19" xfId="0" quotePrefix="1" applyFont="1" applyBorder="1" applyAlignment="1">
      <alignment wrapText="1" readingOrder="1"/>
    </xf>
    <xf numFmtId="0" fontId="8" fillId="0" borderId="139" xfId="0" quotePrefix="1" applyFont="1" applyBorder="1"/>
    <xf numFmtId="0" fontId="36" fillId="6" borderId="17" xfId="8" quotePrefix="1" applyFont="1" applyFill="1" applyBorder="1" applyAlignment="1">
      <alignment horizontal="left" wrapText="1"/>
    </xf>
    <xf numFmtId="0" fontId="5" fillId="6" borderId="18" xfId="0" applyFont="1" applyFill="1" applyBorder="1" applyAlignment="1">
      <alignment horizontal="center" wrapText="1"/>
    </xf>
    <xf numFmtId="41" fontId="5" fillId="6" borderId="19" xfId="2" applyFont="1" applyFill="1" applyBorder="1" applyAlignment="1">
      <alignment horizontal="center" wrapText="1"/>
    </xf>
    <xf numFmtId="0" fontId="5" fillId="0" borderId="70" xfId="0" applyFont="1" applyBorder="1" applyAlignment="1">
      <alignment wrapText="1"/>
    </xf>
    <xf numFmtId="0" fontId="8" fillId="0" borderId="74" xfId="0" quotePrefix="1" applyFont="1" applyBorder="1" applyAlignment="1">
      <alignment wrapText="1"/>
    </xf>
    <xf numFmtId="0" fontId="8" fillId="0" borderId="74" xfId="0" quotePrefix="1" applyFont="1" applyBorder="1" applyAlignment="1">
      <alignment horizontal="center" wrapText="1"/>
    </xf>
    <xf numFmtId="0" fontId="8" fillId="0" borderId="74" xfId="0" applyFont="1" applyBorder="1" applyAlignment="1">
      <alignment horizontal="center" wrapText="1"/>
    </xf>
    <xf numFmtId="0" fontId="32" fillId="0" borderId="74" xfId="0" applyFont="1" applyFill="1" applyBorder="1" applyAlignment="1">
      <alignment horizontal="left" wrapText="1"/>
    </xf>
    <xf numFmtId="0" fontId="4" fillId="0" borderId="17" xfId="0" applyFont="1" applyFill="1" applyBorder="1" applyAlignment="1">
      <alignment horizontal="left" vertical="center" wrapText="1"/>
    </xf>
    <xf numFmtId="0" fontId="4" fillId="0" borderId="4" xfId="0" applyFont="1" applyBorder="1" applyAlignment="1">
      <alignment wrapText="1"/>
    </xf>
    <xf numFmtId="0" fontId="1" fillId="0" borderId="0" xfId="0" applyFont="1" applyBorder="1"/>
    <xf numFmtId="0" fontId="0" fillId="0" borderId="0" xfId="0" applyBorder="1" applyAlignment="1">
      <alignment horizontal="center"/>
    </xf>
    <xf numFmtId="0" fontId="8" fillId="0" borderId="17" xfId="0" applyFont="1" applyBorder="1" applyAlignment="1">
      <alignment horizontal="center" wrapText="1"/>
    </xf>
    <xf numFmtId="0" fontId="5" fillId="0" borderId="15" xfId="0" applyFont="1" applyBorder="1" applyAlignment="1">
      <alignment horizontal="center" wrapText="1"/>
    </xf>
    <xf numFmtId="0" fontId="4" fillId="0" borderId="122" xfId="0" applyFont="1" applyBorder="1" applyAlignment="1">
      <alignment horizontal="left" wrapText="1"/>
    </xf>
    <xf numFmtId="0" fontId="17" fillId="0" borderId="17" xfId="0" quotePrefix="1" applyFont="1" applyBorder="1"/>
    <xf numFmtId="0" fontId="46" fillId="0" borderId="19" xfId="0" quotePrefix="1" applyFont="1" applyFill="1" applyBorder="1" applyAlignment="1">
      <alignment horizontal="left" vertical="top" wrapText="1" readingOrder="1"/>
    </xf>
    <xf numFmtId="0" fontId="46" fillId="0" borderId="19" xfId="0" quotePrefix="1" applyFont="1" applyFill="1" applyBorder="1" applyAlignment="1">
      <alignment horizontal="center" vertical="top" wrapText="1"/>
    </xf>
    <xf numFmtId="41" fontId="8" fillId="0" borderId="19" xfId="1" applyNumberFormat="1" applyFont="1" applyFill="1" applyBorder="1" applyAlignment="1">
      <alignment vertical="top" readingOrder="1"/>
    </xf>
    <xf numFmtId="41" fontId="17" fillId="0" borderId="19" xfId="2" applyFont="1" applyFill="1" applyBorder="1" applyAlignment="1">
      <alignment horizontal="center" vertical="center"/>
    </xf>
    <xf numFmtId="0" fontId="33" fillId="0" borderId="0" xfId="8" applyFont="1" applyBorder="1" applyAlignment="1">
      <alignment horizontal="center" vertical="center" wrapText="1"/>
    </xf>
    <xf numFmtId="0" fontId="39" fillId="0" borderId="0" xfId="8" applyFont="1" applyBorder="1" applyAlignment="1">
      <alignment horizontal="center" vertical="center" wrapText="1"/>
    </xf>
    <xf numFmtId="0" fontId="8" fillId="0" borderId="0" xfId="0" applyFont="1" applyBorder="1" applyAlignment="1">
      <alignment horizontal="justify" wrapText="1"/>
    </xf>
    <xf numFmtId="0" fontId="34" fillId="0" borderId="0" xfId="8" applyFont="1" applyBorder="1" applyAlignment="1">
      <alignment vertical="top" wrapText="1"/>
    </xf>
    <xf numFmtId="0" fontId="34" fillId="0" borderId="0" xfId="8" applyFont="1" applyBorder="1" applyAlignment="1">
      <alignment vertical="top"/>
    </xf>
    <xf numFmtId="164" fontId="34" fillId="0" borderId="0" xfId="8" applyNumberFormat="1" applyFont="1" applyBorder="1" applyAlignment="1">
      <alignment horizontal="left" wrapText="1"/>
    </xf>
    <xf numFmtId="164" fontId="34" fillId="0" borderId="0" xfId="8" applyNumberFormat="1" applyFont="1" applyBorder="1" applyAlignment="1">
      <alignment wrapText="1"/>
    </xf>
    <xf numFmtId="0" fontId="37" fillId="0" borderId="0" xfId="8" applyFont="1" applyBorder="1" applyAlignment="1">
      <alignment horizontal="center" wrapText="1"/>
    </xf>
    <xf numFmtId="9" fontId="36" fillId="0" borderId="0" xfId="8" applyNumberFormat="1" applyFont="1" applyBorder="1" applyAlignment="1">
      <alignment horizontal="center" wrapText="1"/>
    </xf>
    <xf numFmtId="0" fontId="34" fillId="0" borderId="0" xfId="8" applyFont="1" applyBorder="1" applyAlignment="1">
      <alignment horizontal="left" wrapText="1"/>
    </xf>
    <xf numFmtId="0" fontId="3" fillId="0" borderId="0" xfId="0" applyFont="1" applyBorder="1" applyAlignment="1">
      <alignment horizontal="center" wrapText="1"/>
    </xf>
    <xf numFmtId="0" fontId="36" fillId="0" borderId="200" xfId="8" applyFont="1" applyBorder="1" applyAlignment="1">
      <alignment horizontal="center" wrapText="1"/>
    </xf>
    <xf numFmtId="0" fontId="36" fillId="0" borderId="189" xfId="8" quotePrefix="1" applyFont="1" applyBorder="1" applyAlignment="1">
      <alignment horizontal="center" wrapText="1"/>
    </xf>
    <xf numFmtId="0" fontId="36" fillId="0" borderId="189" xfId="8" applyFont="1" applyBorder="1" applyAlignment="1">
      <alignment wrapText="1"/>
    </xf>
    <xf numFmtId="0" fontId="36" fillId="0" borderId="189" xfId="8" applyFont="1" applyBorder="1" applyAlignment="1">
      <alignment horizontal="center" wrapText="1"/>
    </xf>
    <xf numFmtId="0" fontId="35" fillId="0" borderId="18" xfId="8" applyFont="1" applyBorder="1" applyAlignment="1">
      <alignment horizontal="left" wrapText="1"/>
    </xf>
    <xf numFmtId="0" fontId="35" fillId="0" borderId="189" xfId="8" applyFont="1" applyBorder="1" applyAlignment="1">
      <alignment wrapText="1"/>
    </xf>
    <xf numFmtId="0" fontId="35" fillId="0" borderId="189" xfId="8" applyFont="1" applyBorder="1" applyAlignment="1">
      <alignment horizontal="center" wrapText="1"/>
    </xf>
    <xf numFmtId="0" fontId="36" fillId="0" borderId="191" xfId="8" applyFont="1" applyBorder="1" applyAlignment="1">
      <alignment horizontal="center" wrapText="1"/>
    </xf>
    <xf numFmtId="0" fontId="36" fillId="0" borderId="139" xfId="8" quotePrefix="1" applyFont="1" applyBorder="1" applyAlignment="1">
      <alignment horizontal="center" wrapText="1"/>
    </xf>
    <xf numFmtId="0" fontId="36" fillId="0" borderId="139" xfId="8" quotePrefix="1" applyFont="1" applyBorder="1" applyAlignment="1">
      <alignment wrapText="1"/>
    </xf>
    <xf numFmtId="0" fontId="36" fillId="0" borderId="139" xfId="8" applyFont="1" applyBorder="1" applyAlignment="1">
      <alignment horizontal="center" wrapText="1"/>
    </xf>
    <xf numFmtId="0" fontId="35" fillId="0" borderId="63" xfId="8" applyFont="1" applyBorder="1" applyAlignment="1">
      <alignment horizontal="left" wrapText="1" readingOrder="1"/>
    </xf>
    <xf numFmtId="0" fontId="35" fillId="0" borderId="139" xfId="8" applyFont="1" applyBorder="1" applyAlignment="1">
      <alignment horizontal="center" wrapText="1"/>
    </xf>
    <xf numFmtId="0" fontId="35" fillId="0" borderId="18" xfId="8" applyFont="1" applyBorder="1" applyAlignment="1">
      <alignment readingOrder="1"/>
    </xf>
    <xf numFmtId="0" fontId="35" fillId="0" borderId="75" xfId="8" applyFont="1" applyBorder="1" applyAlignment="1">
      <alignment wrapText="1" readingOrder="1"/>
    </xf>
    <xf numFmtId="0" fontId="36" fillId="0" borderId="18" xfId="8" applyFont="1" applyFill="1" applyBorder="1" applyAlignment="1">
      <alignment horizontal="left" wrapText="1"/>
    </xf>
    <xf numFmtId="0" fontId="36" fillId="0" borderId="18" xfId="8" quotePrefix="1" applyFont="1" applyFill="1" applyBorder="1" applyAlignment="1">
      <alignment horizontal="left" wrapText="1"/>
    </xf>
    <xf numFmtId="0" fontId="16" fillId="0" borderId="75" xfId="0" applyFont="1" applyBorder="1" applyAlignment="1">
      <alignment wrapText="1" readingOrder="1"/>
    </xf>
    <xf numFmtId="0" fontId="8" fillId="0" borderId="18" xfId="0" applyFont="1" applyFill="1" applyBorder="1" applyAlignment="1">
      <alignment horizontal="left" wrapText="1"/>
    </xf>
    <xf numFmtId="0" fontId="35" fillId="0" borderId="18" xfId="8" applyFont="1" applyFill="1" applyBorder="1" applyAlignment="1">
      <alignment readingOrder="1"/>
    </xf>
    <xf numFmtId="0" fontId="35" fillId="0" borderId="75" xfId="8" applyFont="1" applyFill="1" applyBorder="1" applyAlignment="1">
      <alignment wrapText="1" readingOrder="1"/>
    </xf>
    <xf numFmtId="0" fontId="36" fillId="0" borderId="71" xfId="8" applyFont="1" applyFill="1" applyBorder="1" applyAlignment="1">
      <alignment wrapText="1" readingOrder="1"/>
    </xf>
    <xf numFmtId="0" fontId="36" fillId="0" borderId="191" xfId="8" applyFont="1" applyFill="1" applyBorder="1" applyAlignment="1">
      <alignment horizontal="center" wrapText="1"/>
    </xf>
    <xf numFmtId="0" fontId="36" fillId="0" borderId="139" xfId="8" quotePrefix="1" applyFont="1" applyFill="1" applyBorder="1" applyAlignment="1">
      <alignment horizontal="center" wrapText="1"/>
    </xf>
    <xf numFmtId="0" fontId="36" fillId="0" borderId="139" xfId="8" quotePrefix="1" applyFont="1" applyFill="1" applyBorder="1" applyAlignment="1">
      <alignment wrapText="1"/>
    </xf>
    <xf numFmtId="0" fontId="36" fillId="0" borderId="139" xfId="8" applyFont="1" applyFill="1" applyBorder="1" applyAlignment="1">
      <alignment horizontal="center" wrapText="1"/>
    </xf>
    <xf numFmtId="0" fontId="36" fillId="0" borderId="18" xfId="8" quotePrefix="1" applyFont="1" applyFill="1" applyBorder="1" applyAlignment="1">
      <alignment readingOrder="1"/>
    </xf>
    <xf numFmtId="0" fontId="36" fillId="6" borderId="75" xfId="8" quotePrefix="1" applyFont="1" applyFill="1" applyBorder="1" applyAlignment="1">
      <alignment readingOrder="1"/>
    </xf>
    <xf numFmtId="0" fontId="17" fillId="0" borderId="18" xfId="0" quotePrefix="1" applyFont="1" applyFill="1" applyBorder="1" applyAlignment="1">
      <alignment readingOrder="1"/>
    </xf>
    <xf numFmtId="0" fontId="17" fillId="0" borderId="71" xfId="0" applyFont="1" applyFill="1" applyBorder="1" applyAlignment="1">
      <alignment wrapText="1" readingOrder="1"/>
    </xf>
    <xf numFmtId="0" fontId="35" fillId="0" borderId="18" xfId="8" applyFont="1" applyBorder="1" applyAlignment="1">
      <alignment wrapText="1" readingOrder="1"/>
    </xf>
    <xf numFmtId="0" fontId="36" fillId="0" borderId="139" xfId="8" applyFont="1" applyBorder="1" applyAlignment="1">
      <alignment wrapText="1"/>
    </xf>
    <xf numFmtId="0" fontId="36" fillId="0" borderId="71" xfId="8" quotePrefix="1" applyFont="1" applyFill="1" applyBorder="1" applyAlignment="1">
      <alignment wrapText="1" readingOrder="1"/>
    </xf>
    <xf numFmtId="0" fontId="17" fillId="0" borderId="18" xfId="0" applyFont="1" applyBorder="1" applyAlignment="1">
      <alignment readingOrder="1"/>
    </xf>
    <xf numFmtId="0" fontId="8" fillId="6" borderId="18" xfId="0" quotePrefix="1" applyFont="1" applyFill="1" applyBorder="1" applyAlignment="1">
      <alignment horizontal="left" wrapText="1"/>
    </xf>
    <xf numFmtId="0" fontId="8" fillId="6" borderId="71" xfId="0" quotePrefix="1" applyFont="1" applyFill="1" applyBorder="1" applyAlignment="1">
      <alignment horizontal="left" wrapText="1"/>
    </xf>
    <xf numFmtId="0" fontId="17" fillId="0" borderId="18" xfId="0" quotePrefix="1" applyFont="1" applyBorder="1" applyAlignment="1">
      <alignment readingOrder="1"/>
    </xf>
    <xf numFmtId="0" fontId="36" fillId="0" borderId="46" xfId="8" applyFont="1" applyFill="1" applyBorder="1" applyAlignment="1">
      <alignment wrapText="1" readingOrder="1"/>
    </xf>
    <xf numFmtId="0" fontId="8" fillId="0" borderId="46" xfId="0" applyFont="1" applyBorder="1" applyAlignment="1">
      <alignment readingOrder="1"/>
    </xf>
    <xf numFmtId="0" fontId="16" fillId="0" borderId="46" xfId="0" applyFont="1" applyFill="1" applyBorder="1" applyAlignment="1">
      <alignment wrapText="1" readingOrder="1"/>
    </xf>
    <xf numFmtId="0" fontId="17" fillId="0" borderId="46" xfId="0" applyFont="1" applyFill="1" applyBorder="1" applyAlignment="1">
      <alignment wrapText="1" readingOrder="1"/>
    </xf>
    <xf numFmtId="0" fontId="17" fillId="0" borderId="46" xfId="0" quotePrefix="1" applyFont="1" applyBorder="1" applyAlignment="1">
      <alignment readingOrder="1"/>
    </xf>
    <xf numFmtId="0" fontId="8" fillId="0" borderId="139" xfId="0" applyFont="1" applyBorder="1" applyAlignment="1">
      <alignment horizontal="center" vertical="center" wrapText="1"/>
    </xf>
    <xf numFmtId="0" fontId="8" fillId="0" borderId="139" xfId="0" quotePrefix="1" applyFont="1" applyBorder="1" applyAlignment="1">
      <alignment horizontal="center" vertical="center" wrapText="1"/>
    </xf>
    <xf numFmtId="0" fontId="8" fillId="0" borderId="191" xfId="0" applyFont="1" applyBorder="1" applyAlignment="1">
      <alignment horizontal="center" vertical="center" wrapText="1"/>
    </xf>
    <xf numFmtId="0" fontId="36" fillId="0" borderId="201" xfId="8" applyFont="1" applyBorder="1" applyAlignment="1">
      <alignment horizontal="center" wrapText="1"/>
    </xf>
    <xf numFmtId="0" fontId="36" fillId="0" borderId="202" xfId="8" applyFont="1" applyBorder="1" applyAlignment="1">
      <alignment horizontal="center" wrapText="1"/>
    </xf>
    <xf numFmtId="0" fontId="36" fillId="0" borderId="202" xfId="8" applyFont="1" applyBorder="1" applyAlignment="1">
      <alignment wrapText="1"/>
    </xf>
    <xf numFmtId="0" fontId="36" fillId="0" borderId="202" xfId="8" quotePrefix="1" applyFont="1" applyBorder="1" applyAlignment="1">
      <alignment horizontal="center" wrapText="1"/>
    </xf>
    <xf numFmtId="0" fontId="36" fillId="0" borderId="143" xfId="8" quotePrefix="1" applyFont="1" applyFill="1" applyBorder="1" applyAlignment="1">
      <alignment wrapText="1" readingOrder="1"/>
    </xf>
    <xf numFmtId="0" fontId="36" fillId="0" borderId="0" xfId="8" applyFont="1" applyBorder="1" applyAlignment="1">
      <alignment horizontal="center" vertical="center" wrapText="1"/>
    </xf>
    <xf numFmtId="0" fontId="34" fillId="0" borderId="0" xfId="8" applyFont="1" applyBorder="1" applyAlignment="1">
      <alignment horizontal="justify"/>
    </xf>
    <xf numFmtId="0" fontId="37" fillId="0" borderId="0" xfId="8" applyFont="1" applyBorder="1" applyAlignment="1">
      <alignment horizontal="center"/>
    </xf>
    <xf numFmtId="0" fontId="0" fillId="0" borderId="0" xfId="0" applyBorder="1" applyAlignment="1">
      <alignment vertical="center"/>
    </xf>
    <xf numFmtId="165" fontId="8" fillId="0" borderId="0" xfId="0" quotePrefix="1" applyNumberFormat="1" applyFont="1" applyBorder="1" applyAlignment="1">
      <alignment readingOrder="1"/>
    </xf>
    <xf numFmtId="43" fontId="0" fillId="0" borderId="0" xfId="11" applyFont="1"/>
    <xf numFmtId="165" fontId="8" fillId="0" borderId="139" xfId="0" applyNumberFormat="1" applyFont="1" applyBorder="1" applyAlignment="1">
      <alignment horizontal="center" wrapText="1"/>
    </xf>
    <xf numFmtId="0" fontId="36" fillId="6" borderId="204" xfId="8" applyFont="1" applyFill="1" applyBorder="1" applyAlignment="1">
      <alignment vertical="top" readingOrder="1"/>
    </xf>
    <xf numFmtId="0" fontId="47" fillId="0" borderId="78" xfId="0" applyFont="1" applyBorder="1" applyAlignment="1">
      <alignment vertical="center" wrapText="1"/>
    </xf>
    <xf numFmtId="0" fontId="47" fillId="0" borderId="33" xfId="0" applyFont="1" applyBorder="1" applyAlignment="1">
      <alignment vertical="center" wrapText="1"/>
    </xf>
    <xf numFmtId="0" fontId="47" fillId="0" borderId="79" xfId="0" applyFont="1" applyBorder="1" applyAlignment="1">
      <alignment vertical="center" wrapText="1"/>
    </xf>
    <xf numFmtId="0" fontId="47" fillId="0" borderId="1" xfId="0" applyFont="1" applyBorder="1" applyAlignment="1">
      <alignment vertical="center" wrapText="1"/>
    </xf>
    <xf numFmtId="164" fontId="8" fillId="0" borderId="4" xfId="0" applyNumberFormat="1" applyFont="1" applyBorder="1" applyAlignment="1">
      <alignment horizontal="center" wrapText="1"/>
    </xf>
    <xf numFmtId="164" fontId="8" fillId="0" borderId="4" xfId="0" applyNumberFormat="1" applyFont="1" applyBorder="1" applyAlignment="1">
      <alignment wrapText="1"/>
    </xf>
    <xf numFmtId="164" fontId="8" fillId="0" borderId="54" xfId="0" applyNumberFormat="1" applyFont="1" applyBorder="1" applyAlignment="1">
      <alignment wrapText="1"/>
    </xf>
    <xf numFmtId="166" fontId="8" fillId="0" borderId="4" xfId="0" applyNumberFormat="1" applyFont="1" applyBorder="1" applyAlignment="1">
      <alignment wrapText="1"/>
    </xf>
    <xf numFmtId="0" fontId="8" fillId="0" borderId="200" xfId="0" applyFont="1" applyBorder="1" applyAlignment="1">
      <alignment horizontal="center" wrapText="1"/>
    </xf>
    <xf numFmtId="0" fontId="8" fillId="0" borderId="189" xfId="0" quotePrefix="1" applyFont="1" applyBorder="1" applyAlignment="1">
      <alignment horizontal="center" wrapText="1"/>
    </xf>
    <xf numFmtId="0" fontId="8" fillId="0" borderId="189" xfId="0" applyFont="1" applyBorder="1" applyAlignment="1">
      <alignment wrapText="1"/>
    </xf>
    <xf numFmtId="0" fontId="8" fillId="0" borderId="189" xfId="0" applyFont="1" applyBorder="1" applyAlignment="1">
      <alignment horizontal="center" wrapText="1"/>
    </xf>
    <xf numFmtId="0" fontId="5" fillId="0" borderId="189" xfId="0" applyFont="1" applyBorder="1" applyAlignment="1">
      <alignment horizontal="left" wrapText="1"/>
    </xf>
    <xf numFmtId="0" fontId="5" fillId="0" borderId="189" xfId="0" applyFont="1" applyBorder="1" applyAlignment="1">
      <alignment horizontal="center" wrapText="1"/>
    </xf>
    <xf numFmtId="0" fontId="35" fillId="0" borderId="139" xfId="8" applyFont="1" applyBorder="1" applyAlignment="1">
      <alignment horizontal="left" wrapText="1" readingOrder="1"/>
    </xf>
    <xf numFmtId="0" fontId="32" fillId="0" borderId="139" xfId="0" quotePrefix="1" applyFont="1" applyBorder="1" applyAlignment="1">
      <alignment wrapText="1"/>
    </xf>
    <xf numFmtId="0" fontId="35" fillId="0" borderId="139" xfId="8" applyFont="1" applyBorder="1" applyAlignment="1">
      <alignment wrapText="1" readingOrder="1"/>
    </xf>
    <xf numFmtId="0" fontId="36" fillId="0" borderId="139" xfId="8" applyFont="1" applyFill="1" applyBorder="1" applyAlignment="1">
      <alignment horizontal="left" wrapText="1"/>
    </xf>
    <xf numFmtId="0" fontId="36" fillId="0" borderId="139" xfId="8" quotePrefix="1" applyFont="1" applyFill="1" applyBorder="1" applyAlignment="1">
      <alignment horizontal="left" wrapText="1"/>
    </xf>
    <xf numFmtId="0" fontId="5" fillId="0" borderId="139" xfId="0" applyFont="1" applyFill="1" applyBorder="1" applyAlignment="1">
      <alignment horizontal="left" wrapText="1"/>
    </xf>
    <xf numFmtId="0" fontId="5" fillId="0" borderId="139" xfId="0" applyFont="1" applyFill="1" applyBorder="1" applyAlignment="1">
      <alignment readingOrder="1"/>
    </xf>
    <xf numFmtId="0" fontId="5" fillId="0" borderId="139" xfId="0" applyFont="1" applyFill="1" applyBorder="1" applyAlignment="1">
      <alignment wrapText="1" readingOrder="1"/>
    </xf>
    <xf numFmtId="0" fontId="17" fillId="0" borderId="139" xfId="0" quotePrefix="1" applyFont="1" applyBorder="1" applyAlignment="1">
      <alignment readingOrder="1"/>
    </xf>
    <xf numFmtId="0" fontId="8" fillId="0" borderId="139" xfId="0" applyFont="1" applyFill="1" applyBorder="1" applyAlignment="1">
      <alignment horizontal="left" wrapText="1"/>
    </xf>
    <xf numFmtId="0" fontId="8" fillId="6" borderId="139" xfId="0" quotePrefix="1" applyFont="1" applyFill="1" applyBorder="1" applyAlignment="1">
      <alignment horizontal="left" wrapText="1"/>
    </xf>
    <xf numFmtId="0" fontId="48" fillId="0" borderId="191" xfId="0" applyFont="1" applyBorder="1" applyAlignment="1">
      <alignment horizontal="center" wrapText="1"/>
    </xf>
    <xf numFmtId="0" fontId="48" fillId="0" borderId="139" xfId="0" quotePrefix="1" applyFont="1" applyBorder="1" applyAlignment="1">
      <alignment horizontal="center" wrapText="1"/>
    </xf>
    <xf numFmtId="0" fontId="48" fillId="0" borderId="139" xfId="0" quotePrefix="1" applyFont="1" applyBorder="1" applyAlignment="1">
      <alignment wrapText="1"/>
    </xf>
    <xf numFmtId="0" fontId="48" fillId="0" borderId="139" xfId="0" applyFont="1" applyBorder="1" applyAlignment="1">
      <alignment horizontal="center" wrapText="1"/>
    </xf>
    <xf numFmtId="0" fontId="8" fillId="6" borderId="139" xfId="0" applyFont="1" applyFill="1" applyBorder="1" applyAlignment="1">
      <alignment horizontal="left" wrapText="1"/>
    </xf>
    <xf numFmtId="0" fontId="48" fillId="0" borderId="201" xfId="0" applyFont="1" applyBorder="1" applyAlignment="1">
      <alignment horizontal="center" wrapText="1"/>
    </xf>
    <xf numFmtId="0" fontId="48" fillId="0" borderId="202" xfId="0" quotePrefix="1" applyFont="1" applyBorder="1" applyAlignment="1">
      <alignment horizontal="center" wrapText="1"/>
    </xf>
    <xf numFmtId="0" fontId="48" fillId="0" borderId="202" xfId="0" quotePrefix="1" applyFont="1" applyBorder="1" applyAlignment="1">
      <alignment wrapText="1"/>
    </xf>
    <xf numFmtId="0" fontId="48" fillId="0" borderId="202" xfId="0" applyFont="1" applyBorder="1" applyAlignment="1">
      <alignment horizontal="center" wrapText="1"/>
    </xf>
    <xf numFmtId="0" fontId="8" fillId="6" borderId="202" xfId="0" applyFont="1" applyFill="1" applyBorder="1" applyAlignment="1">
      <alignment horizontal="left" wrapText="1"/>
    </xf>
    <xf numFmtId="43" fontId="36" fillId="6" borderId="19" xfId="0" applyNumberFormat="1" applyFont="1" applyFill="1" applyBorder="1" applyAlignment="1">
      <alignment horizontal="center" wrapText="1"/>
    </xf>
    <xf numFmtId="165" fontId="36" fillId="6" borderId="17" xfId="0" applyNumberFormat="1" applyFont="1" applyFill="1" applyBorder="1" applyAlignment="1">
      <alignment horizontal="center" wrapText="1"/>
    </xf>
    <xf numFmtId="165" fontId="36" fillId="6" borderId="87" xfId="0" applyNumberFormat="1" applyFont="1" applyFill="1" applyBorder="1" applyAlignment="1">
      <alignment horizontal="center" wrapText="1"/>
    </xf>
    <xf numFmtId="0" fontId="8" fillId="0" borderId="139" xfId="0" quotePrefix="1" applyFont="1" applyBorder="1" applyAlignment="1">
      <alignment vertical="center" wrapText="1"/>
    </xf>
    <xf numFmtId="0" fontId="5" fillId="0" borderId="139" xfId="0" applyFont="1" applyBorder="1" applyAlignment="1">
      <alignment vertical="center" wrapText="1"/>
    </xf>
    <xf numFmtId="0" fontId="32" fillId="0" borderId="139"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7" xfId="0" quotePrefix="1" applyFont="1" applyBorder="1" applyAlignment="1">
      <alignment horizontal="center" vertical="center" wrapText="1"/>
    </xf>
    <xf numFmtId="0" fontId="5" fillId="0" borderId="73" xfId="0" applyFont="1" applyBorder="1" applyAlignment="1">
      <alignment vertical="center" wrapText="1"/>
    </xf>
    <xf numFmtId="0" fontId="17" fillId="0" borderId="19" xfId="0" quotePrefix="1" applyFont="1" applyBorder="1" applyAlignment="1">
      <alignment horizontal="left" readingOrder="1"/>
    </xf>
    <xf numFmtId="0" fontId="8" fillId="6" borderId="19" xfId="0" quotePrefix="1" applyFont="1" applyFill="1" applyBorder="1" applyAlignment="1">
      <alignment horizontal="left" wrapText="1"/>
    </xf>
    <xf numFmtId="0" fontId="17" fillId="6" borderId="70" xfId="0" applyFont="1" applyFill="1" applyBorder="1" applyAlignment="1">
      <alignment wrapText="1" readingOrder="1"/>
    </xf>
    <xf numFmtId="0" fontId="17" fillId="6" borderId="70" xfId="0" quotePrefix="1" applyFont="1" applyFill="1" applyBorder="1" applyAlignment="1">
      <alignment readingOrder="1"/>
    </xf>
    <xf numFmtId="0" fontId="16" fillId="0" borderId="204" xfId="0" applyFont="1" applyFill="1" applyBorder="1" applyAlignment="1">
      <alignment wrapText="1" readingOrder="1"/>
    </xf>
    <xf numFmtId="0" fontId="8" fillId="0" borderId="73" xfId="0" applyFont="1" applyFill="1" applyBorder="1" applyAlignment="1">
      <alignment vertical="center" wrapText="1"/>
    </xf>
    <xf numFmtId="0" fontId="36" fillId="6" borderId="18" xfId="8" quotePrefix="1" applyFont="1" applyFill="1" applyBorder="1" applyAlignment="1">
      <alignment readingOrder="1"/>
    </xf>
    <xf numFmtId="0" fontId="8" fillId="6" borderId="75" xfId="0" quotePrefix="1" applyFont="1" applyFill="1" applyBorder="1" applyAlignment="1">
      <alignment horizontal="left" wrapText="1"/>
    </xf>
    <xf numFmtId="0" fontId="8" fillId="6" borderId="75" xfId="0" quotePrefix="1" applyFont="1" applyFill="1" applyBorder="1" applyAlignment="1">
      <alignment wrapText="1" readingOrder="1"/>
    </xf>
    <xf numFmtId="0" fontId="17" fillId="6" borderId="19" xfId="0" quotePrefix="1" applyFont="1" applyFill="1" applyBorder="1" applyAlignment="1">
      <alignment readingOrder="1"/>
    </xf>
    <xf numFmtId="0" fontId="36" fillId="0" borderId="70" xfId="0" applyFont="1" applyFill="1" applyBorder="1" applyAlignment="1">
      <alignment wrapText="1" readingOrder="1"/>
    </xf>
    <xf numFmtId="0" fontId="32" fillId="0" borderId="69" xfId="0" applyFont="1" applyBorder="1" applyAlignment="1">
      <alignment horizontal="center" wrapText="1"/>
    </xf>
    <xf numFmtId="0" fontId="8" fillId="0" borderId="74" xfId="0" quotePrefix="1" applyFont="1" applyFill="1" applyBorder="1" applyAlignment="1">
      <alignment horizontal="left" wrapText="1"/>
    </xf>
    <xf numFmtId="165" fontId="36" fillId="0" borderId="87" xfId="0" applyNumberFormat="1" applyFont="1" applyBorder="1" applyAlignment="1">
      <alignment horizontal="center" wrapText="1"/>
    </xf>
    <xf numFmtId="165" fontId="35" fillId="0" borderId="87" xfId="0" applyNumberFormat="1" applyFont="1" applyBorder="1" applyAlignment="1">
      <alignment horizontal="center" wrapText="1"/>
    </xf>
    <xf numFmtId="165" fontId="5" fillId="0" borderId="87" xfId="0" applyNumberFormat="1" applyFont="1" applyBorder="1" applyAlignment="1">
      <alignment horizontal="center" vertical="center" wrapText="1"/>
    </xf>
    <xf numFmtId="49" fontId="36" fillId="6" borderId="19" xfId="8" quotePrefix="1" applyNumberFormat="1" applyFont="1" applyFill="1" applyBorder="1" applyAlignment="1">
      <alignment horizontal="left" wrapText="1"/>
    </xf>
    <xf numFmtId="49" fontId="36" fillId="6" borderId="19" xfId="8" applyNumberFormat="1" applyFont="1" applyFill="1" applyBorder="1" applyAlignment="1">
      <alignment horizontal="left" wrapText="1"/>
    </xf>
    <xf numFmtId="165" fontId="35" fillId="0" borderId="0" xfId="8" applyNumberFormat="1" applyFont="1"/>
    <xf numFmtId="165" fontId="35" fillId="0" borderId="87" xfId="8" applyNumberFormat="1" applyFont="1" applyFill="1" applyBorder="1" applyAlignment="1">
      <alignment horizontal="center" wrapText="1"/>
    </xf>
    <xf numFmtId="165" fontId="35" fillId="0" borderId="87" xfId="8" applyNumberFormat="1" applyFont="1" applyFill="1" applyBorder="1" applyAlignment="1">
      <alignment horizontal="center"/>
    </xf>
    <xf numFmtId="165" fontId="35" fillId="6" borderId="87" xfId="8" applyNumberFormat="1" applyFont="1" applyFill="1" applyBorder="1" applyAlignment="1">
      <alignment horizontal="center" wrapText="1"/>
    </xf>
    <xf numFmtId="165" fontId="35" fillId="0" borderId="87" xfId="8" applyNumberFormat="1" applyFont="1" applyBorder="1" applyAlignment="1">
      <alignment horizontal="center" wrapText="1"/>
    </xf>
    <xf numFmtId="165" fontId="35" fillId="0" borderId="87" xfId="8" applyNumberFormat="1" applyFont="1" applyBorder="1" applyAlignment="1">
      <alignment horizontal="center" vertical="center" wrapText="1"/>
    </xf>
    <xf numFmtId="165" fontId="35" fillId="0" borderId="101" xfId="8" applyNumberFormat="1" applyFont="1" applyBorder="1" applyAlignment="1">
      <alignment horizontal="center" vertical="center"/>
    </xf>
    <xf numFmtId="0" fontId="8" fillId="0" borderId="147" xfId="0" applyFont="1" applyBorder="1" applyAlignment="1">
      <alignment horizontal="center" vertical="center" wrapText="1"/>
    </xf>
    <xf numFmtId="165" fontId="5" fillId="0" borderId="81" xfId="0" applyNumberFormat="1" applyFont="1" applyBorder="1" applyAlignment="1">
      <alignment horizontal="center" wrapText="1"/>
    </xf>
    <xf numFmtId="0" fontId="8" fillId="0" borderId="26" xfId="0" quotePrefix="1" applyFont="1" applyFill="1" applyBorder="1" applyAlignment="1">
      <alignment wrapText="1" readingOrder="1"/>
    </xf>
    <xf numFmtId="0" fontId="17" fillId="0" borderId="70" xfId="0" quotePrefix="1" applyFont="1" applyBorder="1" applyAlignment="1">
      <alignment wrapText="1" readingOrder="1"/>
    </xf>
    <xf numFmtId="0" fontId="17" fillId="0" borderId="70" xfId="0" quotePrefix="1" applyFont="1" applyBorder="1" applyAlignment="1">
      <alignment vertical="center" wrapText="1" readingOrder="1"/>
    </xf>
    <xf numFmtId="0" fontId="8" fillId="0" borderId="139" xfId="0" quotePrefix="1" applyFont="1" applyFill="1" applyBorder="1" applyAlignment="1">
      <alignment horizontal="left" vertical="center" wrapText="1"/>
    </xf>
    <xf numFmtId="0" fontId="4" fillId="0" borderId="4" xfId="0" applyFont="1" applyBorder="1" applyAlignment="1">
      <alignment wrapText="1"/>
    </xf>
    <xf numFmtId="0" fontId="11" fillId="0" borderId="0" xfId="0" applyFont="1" applyBorder="1" applyAlignment="1">
      <alignment horizontal="center" vertical="center" wrapText="1"/>
    </xf>
    <xf numFmtId="0" fontId="15" fillId="0" borderId="80" xfId="0" applyFont="1" applyBorder="1" applyAlignment="1">
      <alignment horizontal="center"/>
    </xf>
    <xf numFmtId="0" fontId="15" fillId="0" borderId="6" xfId="0" applyFont="1" applyBorder="1" applyAlignment="1">
      <alignment horizontal="center"/>
    </xf>
    <xf numFmtId="0" fontId="15" fillId="0" borderId="37" xfId="0" applyFont="1" applyBorder="1" applyAlignment="1">
      <alignment horizontal="center" wrapText="1"/>
    </xf>
    <xf numFmtId="0" fontId="8" fillId="0" borderId="37" xfId="0" applyFont="1" applyBorder="1"/>
    <xf numFmtId="0" fontId="8" fillId="0" borderId="4" xfId="0" applyFont="1" applyBorder="1"/>
    <xf numFmtId="0" fontId="5" fillId="0" borderId="0" xfId="0" applyFont="1" applyBorder="1" applyAlignment="1">
      <alignment horizontal="center"/>
    </xf>
    <xf numFmtId="0" fontId="5" fillId="0" borderId="81" xfId="0" applyFont="1" applyBorder="1" applyAlignment="1">
      <alignment horizontal="center"/>
    </xf>
    <xf numFmtId="0" fontId="4" fillId="0" borderId="54" xfId="0" applyFont="1" applyBorder="1" applyAlignment="1">
      <alignment horizontal="left" wrapText="1"/>
    </xf>
    <xf numFmtId="0" fontId="3" fillId="0" borderId="153" xfId="0" applyFont="1" applyBorder="1" applyAlignment="1">
      <alignment horizontal="right"/>
    </xf>
    <xf numFmtId="0" fontId="15" fillId="0" borderId="129" xfId="0" applyFont="1" applyBorder="1" applyAlignment="1">
      <alignment horizontal="center"/>
    </xf>
    <xf numFmtId="0" fontId="15" fillId="0" borderId="98" xfId="0" applyFont="1" applyBorder="1" applyAlignment="1">
      <alignment horizontal="center" wrapText="1"/>
    </xf>
    <xf numFmtId="0" fontId="15" fillId="0" borderId="98" xfId="0" applyFont="1" applyBorder="1" applyAlignment="1">
      <alignment horizontal="right"/>
    </xf>
    <xf numFmtId="0" fontId="8" fillId="0" borderId="0" xfId="0" applyFont="1" applyBorder="1" applyAlignment="1">
      <alignment horizontal="center" wrapText="1"/>
    </xf>
    <xf numFmtId="0" fontId="8" fillId="0" borderId="5" xfId="0" applyFont="1" applyBorder="1" applyAlignment="1">
      <alignment horizontal="center"/>
    </xf>
    <xf numFmtId="0" fontId="15" fillId="0" borderId="35" xfId="0" applyFont="1" applyBorder="1" applyAlignment="1">
      <alignment horizontal="center" wrapText="1"/>
    </xf>
    <xf numFmtId="0" fontId="7" fillId="0" borderId="7" xfId="0" applyFont="1" applyBorder="1" applyAlignment="1">
      <alignment horizontal="left"/>
    </xf>
    <xf numFmtId="0" fontId="5" fillId="0" borderId="7" xfId="0" applyFont="1" applyBorder="1" applyAlignment="1">
      <alignment horizontal="center" wrapText="1"/>
    </xf>
    <xf numFmtId="0" fontId="5" fillId="0" borderId="7" xfId="0" applyFont="1" applyBorder="1" applyAlignment="1">
      <alignment horizontal="center"/>
    </xf>
    <xf numFmtId="0" fontId="3" fillId="0" borderId="171" xfId="0" applyFont="1" applyBorder="1" applyAlignment="1">
      <alignment horizontal="center" wrapText="1"/>
    </xf>
    <xf numFmtId="0" fontId="3" fillId="0" borderId="7" xfId="0" applyFont="1" applyBorder="1" applyAlignment="1">
      <alignment wrapText="1"/>
    </xf>
    <xf numFmtId="0" fontId="7" fillId="0" borderId="108" xfId="0" applyFont="1" applyBorder="1" applyAlignment="1">
      <alignment horizontal="right"/>
    </xf>
    <xf numFmtId="0" fontId="9" fillId="0" borderId="27" xfId="0" applyFont="1" applyBorder="1" applyAlignment="1">
      <alignment horizontal="center" wrapText="1"/>
    </xf>
    <xf numFmtId="0" fontId="9" fillId="0" borderId="27" xfId="0" applyFont="1" applyBorder="1" applyAlignment="1">
      <alignment horizontal="center"/>
    </xf>
    <xf numFmtId="0" fontId="3" fillId="0" borderId="63" xfId="0" applyFont="1" applyFill="1" applyBorder="1" applyAlignment="1">
      <alignment horizontal="justify"/>
    </xf>
    <xf numFmtId="0" fontId="3" fillId="0" borderId="17" xfId="0" applyFont="1" applyFill="1" applyBorder="1" applyAlignment="1">
      <alignment horizontal="justify"/>
    </xf>
    <xf numFmtId="0" fontId="4" fillId="0" borderId="0" xfId="0" applyFont="1" applyBorder="1" applyAlignment="1">
      <alignment horizontal="left" wrapText="1"/>
    </xf>
    <xf numFmtId="0" fontId="3" fillId="0" borderId="0" xfId="0" applyFont="1" applyBorder="1" applyAlignment="1">
      <alignment horizontal="center"/>
    </xf>
    <xf numFmtId="42" fontId="8" fillId="0" borderId="0" xfId="5" applyFont="1" applyBorder="1" applyAlignment="1">
      <alignment horizontal="center" wrapText="1"/>
    </xf>
    <xf numFmtId="0" fontId="4" fillId="0" borderId="122" xfId="0" applyFont="1" applyBorder="1" applyAlignment="1">
      <alignment horizontal="left" wrapText="1"/>
    </xf>
    <xf numFmtId="0" fontId="4" fillId="0" borderId="80" xfId="0" applyFont="1" applyBorder="1" applyAlignment="1"/>
    <xf numFmtId="0" fontId="4" fillId="0" borderId="4" xfId="0" applyFont="1" applyBorder="1" applyAlignment="1"/>
    <xf numFmtId="0" fontId="8" fillId="0" borderId="18" xfId="0" applyFont="1" applyBorder="1" applyAlignment="1">
      <alignment horizontal="center" wrapText="1"/>
    </xf>
    <xf numFmtId="0" fontId="8" fillId="0" borderId="17" xfId="0" applyFont="1" applyBorder="1" applyAlignment="1">
      <alignment horizontal="center" wrapText="1"/>
    </xf>
    <xf numFmtId="0" fontId="8" fillId="0" borderId="18" xfId="0" quotePrefix="1" applyFont="1" applyBorder="1" applyAlignment="1">
      <alignment horizontal="center" wrapText="1"/>
    </xf>
    <xf numFmtId="0" fontId="5" fillId="0" borderId="15" xfId="0" applyFont="1" applyBorder="1" applyAlignment="1">
      <alignment horizontal="center" wrapText="1"/>
    </xf>
    <xf numFmtId="0" fontId="3" fillId="0" borderId="5"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9" xfId="0" applyFont="1" applyBorder="1" applyAlignment="1"/>
    <xf numFmtId="0" fontId="3" fillId="0" borderId="43" xfId="0" applyFont="1" applyBorder="1" applyAlignment="1">
      <alignment horizontal="center" wrapText="1"/>
    </xf>
    <xf numFmtId="0" fontId="4" fillId="0" borderId="0" xfId="0" applyFont="1" applyBorder="1" applyAlignment="1">
      <alignment horizontal="left"/>
    </xf>
    <xf numFmtId="0" fontId="8" fillId="0" borderId="148" xfId="0" applyFont="1" applyBorder="1" applyAlignment="1">
      <alignment horizontal="center"/>
    </xf>
    <xf numFmtId="0" fontId="8" fillId="0" borderId="81" xfId="0" applyFont="1" applyBorder="1" applyAlignment="1">
      <alignment horizontal="center" wrapText="1"/>
    </xf>
    <xf numFmtId="0" fontId="8" fillId="0" borderId="0" xfId="0" applyFont="1" applyBorder="1" applyAlignment="1">
      <alignment horizontal="center"/>
    </xf>
    <xf numFmtId="0" fontId="4" fillId="0" borderId="4" xfId="0" applyFont="1" applyBorder="1" applyAlignment="1">
      <alignment wrapText="1"/>
    </xf>
    <xf numFmtId="0" fontId="5" fillId="0" borderId="0" xfId="0" applyFont="1" applyBorder="1" applyAlignment="1">
      <alignment horizontal="center" wrapText="1"/>
    </xf>
    <xf numFmtId="0" fontId="8" fillId="0" borderId="0" xfId="0" applyFont="1" applyBorder="1" applyAlignment="1">
      <alignment horizontal="center" wrapText="1"/>
    </xf>
    <xf numFmtId="0" fontId="3" fillId="0" borderId="0" xfId="0" applyFont="1" applyBorder="1" applyAlignment="1">
      <alignment horizontal="center"/>
    </xf>
    <xf numFmtId="0" fontId="3" fillId="0" borderId="81" xfId="0" applyFont="1" applyBorder="1" applyAlignment="1">
      <alignment horizontal="center"/>
    </xf>
    <xf numFmtId="0" fontId="8" fillId="0" borderId="18" xfId="0" quotePrefix="1" applyFont="1" applyBorder="1" applyAlignment="1">
      <alignment horizontal="center" wrapText="1"/>
    </xf>
    <xf numFmtId="0" fontId="8" fillId="0" borderId="17"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8" fillId="0" borderId="18" xfId="0" applyFont="1" applyBorder="1" applyAlignment="1">
      <alignment horizontal="center" wrapText="1"/>
    </xf>
    <xf numFmtId="0" fontId="5" fillId="0" borderId="15" xfId="0" applyFont="1" applyBorder="1" applyAlignment="1">
      <alignment horizontal="center" wrapText="1"/>
    </xf>
    <xf numFmtId="0" fontId="4" fillId="0" borderId="80" xfId="0" applyFont="1" applyBorder="1" applyAlignment="1"/>
    <xf numFmtId="0" fontId="4" fillId="0" borderId="4" xfId="0" applyFont="1" applyBorder="1" applyAlignment="1"/>
    <xf numFmtId="0" fontId="4" fillId="0" borderId="122" xfId="0" applyFont="1" applyBorder="1" applyAlignment="1">
      <alignment horizontal="left" wrapText="1"/>
    </xf>
    <xf numFmtId="0" fontId="4" fillId="0" borderId="1" xfId="0" applyFont="1" applyBorder="1" applyAlignment="1">
      <alignment horizontal="justify"/>
    </xf>
    <xf numFmtId="0" fontId="8" fillId="0" borderId="0" xfId="0" applyFont="1"/>
    <xf numFmtId="0" fontId="25" fillId="0" borderId="0" xfId="0" applyFont="1" applyAlignment="1">
      <alignment vertical="center"/>
    </xf>
    <xf numFmtId="0" fontId="8" fillId="0" borderId="0" xfId="0" applyFont="1" applyAlignment="1"/>
    <xf numFmtId="0" fontId="8" fillId="0" borderId="81" xfId="0" applyFont="1" applyBorder="1"/>
    <xf numFmtId="0" fontId="8" fillId="0" borderId="82" xfId="0" applyFont="1" applyBorder="1" applyAlignment="1">
      <alignment wrapText="1"/>
    </xf>
    <xf numFmtId="165" fontId="8" fillId="0" borderId="0" xfId="1" applyNumberFormat="1" applyFont="1"/>
    <xf numFmtId="41" fontId="8" fillId="0" borderId="0" xfId="0" applyNumberFormat="1" applyFont="1"/>
    <xf numFmtId="165" fontId="5" fillId="0" borderId="18" xfId="1" applyNumberFormat="1" applyFont="1" applyBorder="1" applyAlignment="1">
      <alignment horizontal="center" wrapText="1"/>
    </xf>
    <xf numFmtId="43" fontId="5" fillId="0" borderId="18" xfId="0" applyNumberFormat="1" applyFont="1" applyBorder="1" applyAlignment="1">
      <alignment horizontal="center" wrapText="1"/>
    </xf>
    <xf numFmtId="43" fontId="5" fillId="0" borderId="19" xfId="0" applyNumberFormat="1" applyFont="1" applyBorder="1" applyAlignment="1">
      <alignment horizontal="center" wrapText="1"/>
    </xf>
    <xf numFmtId="165" fontId="8" fillId="0" borderId="0" xfId="0" applyNumberFormat="1" applyFont="1"/>
    <xf numFmtId="0" fontId="8" fillId="0" borderId="63" xfId="0" applyFont="1" applyBorder="1"/>
    <xf numFmtId="165" fontId="8" fillId="0" borderId="18" xfId="0" applyNumberFormat="1" applyFont="1" applyBorder="1" applyAlignment="1">
      <alignment horizontal="center" wrapText="1"/>
    </xf>
    <xf numFmtId="165" fontId="5" fillId="0" borderId="82" xfId="0" applyNumberFormat="1" applyFont="1" applyBorder="1" applyAlignment="1">
      <alignment horizontal="center" wrapText="1"/>
    </xf>
    <xf numFmtId="0" fontId="8" fillId="0" borderId="5" xfId="0" applyFont="1" applyBorder="1" applyAlignment="1"/>
    <xf numFmtId="0" fontId="8" fillId="0" borderId="0" xfId="0" applyFont="1" applyBorder="1"/>
    <xf numFmtId="0" fontId="8" fillId="0" borderId="79" xfId="0" applyFont="1" applyBorder="1" applyAlignment="1"/>
    <xf numFmtId="0" fontId="8" fillId="0" borderId="1" xfId="0" applyFont="1" applyBorder="1" applyAlignment="1"/>
    <xf numFmtId="0" fontId="8" fillId="0" borderId="54" xfId="0" applyFont="1" applyBorder="1"/>
    <xf numFmtId="0" fontId="8" fillId="0" borderId="33" xfId="9" quotePrefix="1" applyFont="1" applyBorder="1" applyAlignment="1">
      <alignment horizontal="center"/>
    </xf>
    <xf numFmtId="0" fontId="8" fillId="0" borderId="33" xfId="0" applyFont="1" applyBorder="1" applyAlignment="1">
      <alignment wrapText="1"/>
    </xf>
    <xf numFmtId="0" fontId="8" fillId="0" borderId="33" xfId="0" applyFont="1" applyBorder="1" applyAlignment="1">
      <alignment horizontal="center" wrapText="1"/>
    </xf>
    <xf numFmtId="41" fontId="8" fillId="0" borderId="82" xfId="2" applyNumberFormat="1" applyFont="1" applyBorder="1" applyAlignment="1">
      <alignment horizontal="right" wrapText="1"/>
    </xf>
    <xf numFmtId="0" fontId="17" fillId="0" borderId="55" xfId="0" quotePrefix="1" applyFont="1" applyBorder="1" applyAlignment="1">
      <alignment readingOrder="1"/>
    </xf>
    <xf numFmtId="165" fontId="8" fillId="0" borderId="55" xfId="0" applyNumberFormat="1" applyFont="1" applyBorder="1" applyAlignment="1">
      <alignment horizontal="center" wrapText="1"/>
    </xf>
    <xf numFmtId="43" fontId="8" fillId="0" borderId="55" xfId="0" applyNumberFormat="1" applyFont="1" applyBorder="1" applyAlignment="1">
      <alignment horizontal="center" wrapText="1"/>
    </xf>
    <xf numFmtId="165" fontId="8" fillId="0" borderId="55" xfId="0" applyNumberFormat="1" applyFont="1" applyBorder="1" applyAlignment="1">
      <alignment horizontal="right"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8" xfId="0" quotePrefix="1" applyFont="1" applyBorder="1" applyAlignment="1">
      <alignment horizontal="center" vertical="center"/>
    </xf>
    <xf numFmtId="0" fontId="8" fillId="0" borderId="19" xfId="0" quotePrefix="1" applyFont="1" applyBorder="1" applyAlignment="1">
      <alignment horizontal="center" vertical="center" wrapText="1"/>
    </xf>
    <xf numFmtId="0" fontId="8" fillId="0" borderId="1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0" xfId="0" quotePrefix="1" applyFont="1" applyBorder="1" applyAlignment="1">
      <alignment horizontal="center" vertical="center" wrapText="1"/>
    </xf>
    <xf numFmtId="0" fontId="8" fillId="0" borderId="89" xfId="0" applyFont="1" applyBorder="1" applyAlignment="1">
      <alignment vertical="center"/>
    </xf>
    <xf numFmtId="0" fontId="8" fillId="0" borderId="58" xfId="0" applyFont="1" applyBorder="1" applyAlignment="1">
      <alignment vertical="center"/>
    </xf>
    <xf numFmtId="0" fontId="8" fillId="0" borderId="59" xfId="0" applyFont="1" applyBorder="1" applyAlignment="1">
      <alignment vertical="center"/>
    </xf>
    <xf numFmtId="0" fontId="8" fillId="0" borderId="60" xfId="0" applyFont="1" applyBorder="1" applyAlignment="1">
      <alignment vertical="center"/>
    </xf>
    <xf numFmtId="0" fontId="8" fillId="0" borderId="19" xfId="0" applyFont="1" applyBorder="1" applyAlignment="1">
      <alignment vertical="center"/>
    </xf>
    <xf numFmtId="0" fontId="8" fillId="0" borderId="17" xfId="0" applyFont="1" applyBorder="1" applyAlignment="1">
      <alignment vertical="center"/>
    </xf>
    <xf numFmtId="0" fontId="8" fillId="0" borderId="63" xfId="0" applyFont="1" applyBorder="1" applyAlignment="1">
      <alignment vertical="center"/>
    </xf>
    <xf numFmtId="0" fontId="8" fillId="0" borderId="59" xfId="0" applyFont="1" applyBorder="1" applyAlignment="1">
      <alignment horizontal="center" vertical="center" wrapText="1"/>
    </xf>
    <xf numFmtId="0" fontId="8" fillId="0" borderId="69" xfId="0" applyFont="1" applyBorder="1" applyAlignment="1">
      <alignment vertical="center"/>
    </xf>
    <xf numFmtId="0" fontId="8" fillId="0" borderId="57" xfId="0" applyFont="1" applyBorder="1" applyAlignment="1">
      <alignment vertical="center"/>
    </xf>
    <xf numFmtId="0" fontId="8" fillId="0" borderId="74" xfId="0" applyFont="1" applyBorder="1" applyAlignment="1">
      <alignment vertical="center"/>
    </xf>
    <xf numFmtId="0" fontId="8" fillId="0" borderId="67" xfId="0" quotePrefix="1" applyFont="1" applyBorder="1" applyAlignment="1">
      <alignment horizontal="center" vertical="center"/>
    </xf>
    <xf numFmtId="0" fontId="8" fillId="0" borderId="95" xfId="0" applyFont="1" applyBorder="1" applyAlignment="1">
      <alignment vertical="center"/>
    </xf>
    <xf numFmtId="0" fontId="8" fillId="0" borderId="55" xfId="0" applyFont="1" applyBorder="1" applyAlignment="1">
      <alignment vertical="center"/>
    </xf>
    <xf numFmtId="0" fontId="8" fillId="0" borderId="63" xfId="0" quotePrefix="1" applyFont="1" applyBorder="1" applyAlignment="1">
      <alignment horizontal="center" wrapText="1"/>
    </xf>
    <xf numFmtId="0" fontId="8" fillId="0" borderId="63" xfId="0" applyFont="1" applyFill="1" applyBorder="1" applyAlignment="1">
      <alignment horizontal="center" wrapText="1"/>
    </xf>
    <xf numFmtId="0" fontId="8" fillId="0" borderId="26" xfId="0" applyFont="1" applyFill="1" applyBorder="1" applyAlignment="1">
      <alignment horizontal="center" wrapText="1"/>
    </xf>
    <xf numFmtId="41" fontId="8" fillId="0" borderId="87" xfId="0" applyNumberFormat="1" applyFont="1" applyBorder="1" applyAlignment="1">
      <alignment horizontal="center" wrapText="1"/>
    </xf>
    <xf numFmtId="41" fontId="8" fillId="0" borderId="87" xfId="0" applyNumberFormat="1" applyFont="1" applyFill="1" applyBorder="1" applyAlignment="1">
      <alignment horizontal="center" wrapText="1"/>
    </xf>
    <xf numFmtId="43" fontId="8" fillId="0" borderId="71" xfId="0" applyNumberFormat="1" applyFont="1" applyBorder="1" applyAlignment="1">
      <alignment horizontal="center" wrapText="1"/>
    </xf>
    <xf numFmtId="43" fontId="8" fillId="0" borderId="0" xfId="0" applyNumberFormat="1" applyFont="1" applyBorder="1" applyAlignment="1"/>
    <xf numFmtId="43" fontId="8" fillId="0" borderId="0" xfId="0" applyNumberFormat="1" applyFont="1" applyBorder="1"/>
    <xf numFmtId="165" fontId="8" fillId="0" borderId="17" xfId="0" applyNumberFormat="1" applyFont="1" applyFill="1" applyBorder="1" applyAlignment="1">
      <alignment horizontal="center" wrapText="1"/>
    </xf>
    <xf numFmtId="0" fontId="8" fillId="0" borderId="18" xfId="2" applyNumberFormat="1" applyFont="1" applyBorder="1" applyAlignment="1">
      <alignment horizontal="center" vertical="center" wrapText="1"/>
    </xf>
    <xf numFmtId="0" fontId="8" fillId="0" borderId="18" xfId="0" applyNumberFormat="1" applyFont="1" applyBorder="1" applyAlignment="1">
      <alignment horizontal="center" vertical="center" wrapText="1"/>
    </xf>
    <xf numFmtId="0" fontId="8" fillId="0" borderId="48" xfId="0" applyFont="1" applyBorder="1" applyAlignment="1">
      <alignment horizontal="center" vertical="center" wrapText="1"/>
    </xf>
    <xf numFmtId="0" fontId="8" fillId="0" borderId="18" xfId="0" quotePrefix="1" applyFont="1" applyBorder="1" applyAlignment="1">
      <alignment horizontal="center" vertical="center" wrapText="1"/>
    </xf>
    <xf numFmtId="0" fontId="8" fillId="0" borderId="26" xfId="0" applyFont="1" applyBorder="1" applyAlignment="1">
      <alignment horizontal="center" vertical="center" wrapText="1"/>
    </xf>
    <xf numFmtId="0" fontId="8" fillId="0" borderId="2" xfId="0" applyFont="1" applyBorder="1"/>
    <xf numFmtId="0" fontId="8" fillId="0" borderId="3" xfId="0" applyFont="1" applyBorder="1" applyAlignment="1">
      <alignment wrapText="1"/>
    </xf>
    <xf numFmtId="41" fontId="8" fillId="0" borderId="0" xfId="2" applyFont="1"/>
    <xf numFmtId="41" fontId="8" fillId="0" borderId="64" xfId="0" applyNumberFormat="1" applyFont="1" applyBorder="1" applyAlignment="1">
      <alignment horizontal="center" wrapText="1"/>
    </xf>
    <xf numFmtId="41" fontId="32" fillId="0" borderId="0" xfId="0" applyNumberFormat="1" applyFont="1" applyAlignment="1">
      <alignment vertical="top" wrapText="1"/>
    </xf>
    <xf numFmtId="41" fontId="8" fillId="0" borderId="64" xfId="0" applyNumberFormat="1" applyFont="1" applyBorder="1" applyAlignment="1">
      <alignment horizontal="center" vertical="top" wrapText="1"/>
    </xf>
    <xf numFmtId="0" fontId="8" fillId="0" borderId="0" xfId="0" applyFont="1" applyAlignment="1">
      <alignment vertical="top"/>
    </xf>
    <xf numFmtId="43" fontId="8" fillId="0" borderId="0" xfId="0" applyNumberFormat="1" applyFont="1"/>
    <xf numFmtId="41" fontId="5" fillId="0" borderId="8" xfId="0" applyNumberFormat="1" applyFont="1" applyBorder="1" applyAlignment="1">
      <alignment horizontal="center" wrapText="1"/>
    </xf>
    <xf numFmtId="0" fontId="8" fillId="0" borderId="44" xfId="0" applyFont="1" applyBorder="1" applyAlignment="1"/>
    <xf numFmtId="0" fontId="8" fillId="0" borderId="63" xfId="0" quotePrefix="1" applyFont="1" applyBorder="1" applyAlignment="1">
      <alignment horizontal="center" vertical="center" wrapText="1"/>
    </xf>
    <xf numFmtId="0" fontId="46" fillId="0" borderId="0" xfId="0" applyFont="1"/>
    <xf numFmtId="0" fontId="4" fillId="0" borderId="26" xfId="0" applyFont="1" applyBorder="1" applyAlignment="1">
      <alignment horizontal="center" wrapText="1"/>
    </xf>
    <xf numFmtId="0" fontId="4" fillId="0" borderId="8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73" xfId="0" quotePrefix="1" applyFont="1" applyBorder="1" applyAlignment="1">
      <alignment horizontal="center" wrapText="1"/>
    </xf>
    <xf numFmtId="0" fontId="8" fillId="0" borderId="76" xfId="0" applyFont="1" applyBorder="1" applyAlignment="1">
      <alignment horizontal="center" wrapText="1"/>
    </xf>
    <xf numFmtId="0" fontId="4" fillId="0" borderId="91" xfId="0" applyFont="1" applyBorder="1" applyAlignment="1">
      <alignment horizontal="center" wrapText="1"/>
    </xf>
    <xf numFmtId="0" fontId="3" fillId="0" borderId="5" xfId="0" applyFont="1" applyBorder="1" applyAlignment="1">
      <alignment horizontal="right" wrapText="1"/>
    </xf>
    <xf numFmtId="0" fontId="3" fillId="0" borderId="5" xfId="0" applyFont="1" applyBorder="1" applyAlignment="1">
      <alignment wrapText="1"/>
    </xf>
    <xf numFmtId="165" fontId="5" fillId="0" borderId="125" xfId="0" applyNumberFormat="1" applyFont="1" applyBorder="1" applyAlignment="1">
      <alignment horizontal="center" wrapText="1"/>
    </xf>
    <xf numFmtId="0" fontId="3" fillId="0" borderId="91" xfId="0" applyFont="1" applyBorder="1" applyAlignment="1">
      <alignment horizontal="right" wrapText="1"/>
    </xf>
    <xf numFmtId="0" fontId="3" fillId="0" borderId="91" xfId="0" applyFont="1" applyFill="1" applyBorder="1" applyAlignment="1">
      <alignment horizontal="right" wrapText="1"/>
    </xf>
    <xf numFmtId="0" fontId="3" fillId="0" borderId="5" xfId="0" applyFont="1" applyFill="1" applyBorder="1" applyAlignment="1">
      <alignment horizontal="right" wrapText="1"/>
    </xf>
    <xf numFmtId="41" fontId="5" fillId="0" borderId="125" xfId="0" applyNumberFormat="1" applyFont="1" applyFill="1" applyBorder="1" applyAlignment="1">
      <alignment horizontal="center" wrapText="1"/>
    </xf>
    <xf numFmtId="0" fontId="8" fillId="0" borderId="76" xfId="0" applyFont="1" applyFill="1" applyBorder="1" applyAlignment="1"/>
    <xf numFmtId="0" fontId="8" fillId="0" borderId="0" xfId="0" applyFont="1" applyFill="1" applyBorder="1" applyAlignment="1"/>
    <xf numFmtId="41" fontId="5" fillId="0" borderId="144" xfId="0" applyNumberFormat="1" applyFont="1" applyBorder="1" applyAlignment="1">
      <alignment horizontal="center" wrapText="1"/>
    </xf>
    <xf numFmtId="0" fontId="3" fillId="0" borderId="91" xfId="0" applyFont="1" applyBorder="1" applyAlignment="1">
      <alignment horizontal="right" vertical="top" wrapText="1"/>
    </xf>
    <xf numFmtId="0" fontId="3" fillId="0" borderId="5" xfId="0" applyFont="1" applyBorder="1" applyAlignment="1">
      <alignment horizontal="right" vertical="top" wrapText="1"/>
    </xf>
    <xf numFmtId="3" fontId="8" fillId="0" borderId="0" xfId="0" applyNumberFormat="1" applyFont="1"/>
    <xf numFmtId="0" fontId="8" fillId="0" borderId="0" xfId="0" applyFont="1" applyAlignment="1">
      <alignment horizontal="center"/>
    </xf>
    <xf numFmtId="3" fontId="8" fillId="0" borderId="87" xfId="0" applyNumberFormat="1" applyFont="1" applyBorder="1" applyAlignment="1">
      <alignment horizontal="right" wrapText="1"/>
    </xf>
    <xf numFmtId="0" fontId="8" fillId="0" borderId="0" xfId="0" quotePrefix="1" applyFont="1"/>
    <xf numFmtId="43" fontId="8" fillId="0" borderId="75" xfId="0" applyNumberFormat="1" applyFont="1" applyBorder="1" applyAlignment="1">
      <alignment horizontal="center" wrapText="1"/>
    </xf>
    <xf numFmtId="165" fontId="8" fillId="0" borderId="73" xfId="0" applyNumberFormat="1" applyFont="1" applyBorder="1" applyAlignment="1">
      <alignment horizontal="center" wrapText="1"/>
    </xf>
    <xf numFmtId="3" fontId="8" fillId="0" borderId="99" xfId="0" applyNumberFormat="1" applyFont="1" applyBorder="1" applyAlignment="1">
      <alignment horizontal="right" wrapText="1"/>
    </xf>
    <xf numFmtId="2" fontId="8" fillId="0" borderId="0" xfId="0" applyNumberFormat="1" applyFont="1"/>
    <xf numFmtId="41" fontId="8" fillId="0" borderId="139" xfId="3" applyFont="1" applyBorder="1" applyAlignment="1">
      <alignment horizontal="center"/>
    </xf>
    <xf numFmtId="41" fontId="8" fillId="0" borderId="139" xfId="3" applyFont="1" applyBorder="1"/>
    <xf numFmtId="43" fontId="8" fillId="0" borderId="25" xfId="0" applyNumberFormat="1" applyFont="1" applyBorder="1" applyAlignment="1">
      <alignment horizontal="center" wrapText="1"/>
    </xf>
    <xf numFmtId="165" fontId="8" fillId="0" borderId="26" xfId="0" applyNumberFormat="1" applyFont="1" applyBorder="1" applyAlignment="1">
      <alignment horizontal="center" wrapText="1"/>
    </xf>
    <xf numFmtId="165" fontId="8" fillId="0" borderId="96" xfId="0" applyNumberFormat="1" applyFont="1" applyBorder="1" applyAlignment="1">
      <alignment horizontal="center" wrapText="1"/>
    </xf>
    <xf numFmtId="165" fontId="5" fillId="0" borderId="82" xfId="0" applyNumberFormat="1" applyFont="1" applyBorder="1" applyAlignment="1">
      <alignment horizontal="center" vertical="top" wrapText="1"/>
    </xf>
    <xf numFmtId="0" fontId="32" fillId="0" borderId="0" xfId="0" applyFont="1" applyAlignment="1">
      <alignment vertical="top" wrapText="1"/>
    </xf>
    <xf numFmtId="165" fontId="5" fillId="0" borderId="125" xfId="0" applyNumberFormat="1" applyFont="1" applyBorder="1" applyAlignment="1">
      <alignment horizontal="center" vertical="top" wrapText="1"/>
    </xf>
    <xf numFmtId="0" fontId="8" fillId="0" borderId="76" xfId="0" applyFont="1" applyBorder="1"/>
    <xf numFmtId="0" fontId="8" fillId="0" borderId="33" xfId="9" applyFont="1" applyBorder="1" applyAlignment="1">
      <alignment horizontal="left"/>
    </xf>
    <xf numFmtId="0" fontId="8" fillId="0" borderId="33" xfId="0" applyFont="1" applyBorder="1" applyAlignment="1">
      <alignment horizontal="left" wrapText="1"/>
    </xf>
    <xf numFmtId="0" fontId="8" fillId="0" borderId="0" xfId="0" applyFont="1" applyAlignment="1">
      <alignment vertical="center"/>
    </xf>
    <xf numFmtId="0" fontId="8" fillId="0" borderId="82" xfId="0" applyFont="1" applyBorder="1" applyAlignment="1">
      <alignment vertical="center"/>
    </xf>
    <xf numFmtId="165" fontId="8" fillId="0" borderId="0" xfId="0" applyNumberFormat="1" applyFont="1" applyAlignment="1">
      <alignment horizontal="center"/>
    </xf>
    <xf numFmtId="0" fontId="8" fillId="0" borderId="146" xfId="0" applyFont="1" applyBorder="1" applyAlignment="1">
      <alignment horizontal="center"/>
    </xf>
    <xf numFmtId="0" fontId="8" fillId="0" borderId="16" xfId="0" applyFont="1" applyBorder="1" applyAlignment="1">
      <alignment horizontal="center"/>
    </xf>
    <xf numFmtId="43" fontId="8" fillId="0" borderId="16" xfId="0" applyNumberFormat="1" applyFont="1" applyBorder="1" applyAlignment="1">
      <alignment horizontal="center"/>
    </xf>
    <xf numFmtId="43" fontId="8" fillId="0" borderId="16" xfId="0" applyNumberFormat="1" applyFont="1" applyBorder="1" applyAlignment="1">
      <alignment horizontal="center" wrapText="1"/>
    </xf>
    <xf numFmtId="43" fontId="8" fillId="0" borderId="85" xfId="0" applyNumberFormat="1" applyFont="1" applyBorder="1" applyAlignment="1">
      <alignment horizontal="center"/>
    </xf>
    <xf numFmtId="20" fontId="8" fillId="0" borderId="130" xfId="0" quotePrefix="1" applyNumberFormat="1" applyFont="1" applyBorder="1" applyAlignment="1">
      <alignment horizontal="center"/>
    </xf>
    <xf numFmtId="20" fontId="8" fillId="0" borderId="63" xfId="0" quotePrefix="1" applyNumberFormat="1" applyFont="1" applyBorder="1" applyAlignment="1">
      <alignment horizontal="center"/>
    </xf>
    <xf numFmtId="20" fontId="8" fillId="0" borderId="18" xfId="0" quotePrefix="1" applyNumberFormat="1" applyFont="1" applyBorder="1" applyAlignment="1">
      <alignment horizontal="center"/>
    </xf>
    <xf numFmtId="0" fontId="4" fillId="0" borderId="63" xfId="0" applyFont="1" applyFill="1" applyBorder="1" applyAlignment="1">
      <alignment wrapText="1"/>
    </xf>
    <xf numFmtId="0" fontId="4" fillId="0" borderId="17" xfId="0" applyFont="1" applyFill="1" applyBorder="1" applyAlignment="1">
      <alignment horizontal="center" vertical="center"/>
    </xf>
    <xf numFmtId="9" fontId="8" fillId="0" borderId="17" xfId="0" applyNumberFormat="1" applyFont="1" applyFill="1" applyBorder="1" applyAlignment="1">
      <alignment horizontal="center" wrapText="1"/>
    </xf>
    <xf numFmtId="43" fontId="8" fillId="0" borderId="17" xfId="0" applyNumberFormat="1" applyFont="1" applyFill="1" applyBorder="1" applyAlignment="1">
      <alignment horizontal="center"/>
    </xf>
    <xf numFmtId="43" fontId="8" fillId="0" borderId="87" xfId="0" applyNumberFormat="1" applyFont="1" applyBorder="1" applyAlignment="1">
      <alignment horizontal="center"/>
    </xf>
    <xf numFmtId="0" fontId="8" fillId="0" borderId="63" xfId="0" applyFont="1" applyFill="1" applyBorder="1" applyAlignment="1">
      <alignment horizontal="center"/>
    </xf>
    <xf numFmtId="0" fontId="8" fillId="0" borderId="130" xfId="0" applyFont="1" applyBorder="1"/>
    <xf numFmtId="20" fontId="8" fillId="0" borderId="18" xfId="0" quotePrefix="1" applyNumberFormat="1" applyFont="1" applyBorder="1" applyAlignment="1">
      <alignment horizontal="center" vertical="center"/>
    </xf>
    <xf numFmtId="20" fontId="8" fillId="0" borderId="63" xfId="0" quotePrefix="1" applyNumberFormat="1" applyFont="1" applyBorder="1" applyAlignment="1">
      <alignment horizontal="center" vertical="center"/>
    </xf>
    <xf numFmtId="43" fontId="8" fillId="0" borderId="17" xfId="0" applyNumberFormat="1" applyFont="1" applyFill="1" applyBorder="1" applyAlignment="1">
      <alignment horizontal="center" vertical="center"/>
    </xf>
    <xf numFmtId="165" fontId="8" fillId="0" borderId="17" xfId="0" applyNumberFormat="1" applyFont="1" applyFill="1" applyBorder="1" applyAlignment="1">
      <alignment horizontal="center" vertical="center" wrapText="1"/>
    </xf>
    <xf numFmtId="165" fontId="8" fillId="0" borderId="0" xfId="1" applyNumberFormat="1" applyFont="1" applyFill="1"/>
    <xf numFmtId="0" fontId="4" fillId="0" borderId="63" xfId="0" applyFont="1" applyFill="1" applyBorder="1" applyAlignment="1">
      <alignment vertical="center" wrapText="1"/>
    </xf>
    <xf numFmtId="165" fontId="8" fillId="0" borderId="0" xfId="0" quotePrefix="1" applyNumberFormat="1" applyFont="1"/>
    <xf numFmtId="20" fontId="8" fillId="0" borderId="130" xfId="0" quotePrefix="1" applyNumberFormat="1" applyFont="1" applyBorder="1" applyAlignment="1">
      <alignment horizontal="center" vertical="center"/>
    </xf>
    <xf numFmtId="0" fontId="4" fillId="0" borderId="17" xfId="0" applyFont="1" applyFill="1" applyBorder="1" applyAlignment="1">
      <alignment vertical="center" wrapText="1"/>
    </xf>
    <xf numFmtId="0" fontId="8" fillId="0" borderId="146" xfId="0" applyFont="1" applyBorder="1"/>
    <xf numFmtId="20" fontId="8" fillId="0" borderId="0" xfId="0" quotePrefix="1" applyNumberFormat="1" applyFont="1" applyBorder="1" applyAlignment="1">
      <alignment horizontal="center" vertical="center"/>
    </xf>
    <xf numFmtId="0" fontId="4" fillId="0" borderId="60" xfId="0" applyFont="1" applyFill="1" applyBorder="1" applyAlignment="1">
      <alignment vertical="justify"/>
    </xf>
    <xf numFmtId="20" fontId="8" fillId="0" borderId="146" xfId="0" quotePrefix="1" applyNumberFormat="1" applyFont="1" applyBorder="1" applyAlignment="1">
      <alignment horizontal="center"/>
    </xf>
    <xf numFmtId="0" fontId="4" fillId="0" borderId="17" xfId="0" applyFont="1" applyBorder="1" applyAlignment="1">
      <alignment wrapText="1"/>
    </xf>
    <xf numFmtId="165" fontId="8" fillId="0" borderId="17" xfId="0" applyNumberFormat="1" applyFont="1" applyBorder="1" applyAlignment="1">
      <alignment horizontal="center" wrapText="1"/>
    </xf>
    <xf numFmtId="43" fontId="8" fillId="0" borderId="87" xfId="0" applyNumberFormat="1" applyFont="1" applyBorder="1" applyAlignment="1">
      <alignment horizontal="center" vertical="center"/>
    </xf>
    <xf numFmtId="0" fontId="4" fillId="0" borderId="18" xfId="0" applyFont="1" applyBorder="1" applyAlignment="1"/>
    <xf numFmtId="20" fontId="8" fillId="0" borderId="146" xfId="0" quotePrefix="1" applyNumberFormat="1" applyFont="1" applyBorder="1" applyAlignment="1">
      <alignment horizontal="center" vertical="center"/>
    </xf>
    <xf numFmtId="0" fontId="4" fillId="0" borderId="17" xfId="0" applyFont="1" applyBorder="1" applyAlignment="1">
      <alignment vertical="center" wrapText="1"/>
    </xf>
    <xf numFmtId="0" fontId="4" fillId="0" borderId="49" xfId="0" applyFont="1" applyFill="1" applyBorder="1" applyAlignment="1">
      <alignment wrapText="1"/>
    </xf>
    <xf numFmtId="9" fontId="8" fillId="0" borderId="17"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20" fontId="8" fillId="0" borderId="199" xfId="0" quotePrefix="1" applyNumberFormat="1" applyFont="1" applyBorder="1" applyAlignment="1">
      <alignment horizontal="center" vertical="center"/>
    </xf>
    <xf numFmtId="0" fontId="4" fillId="0" borderId="17" xfId="0" applyFont="1" applyFill="1" applyBorder="1" applyAlignment="1">
      <alignment wrapText="1"/>
    </xf>
    <xf numFmtId="0" fontId="4" fillId="0" borderId="18" xfId="0" applyFont="1" applyBorder="1" applyAlignment="1">
      <alignment horizontal="left" vertical="center" wrapText="1"/>
    </xf>
    <xf numFmtId="0" fontId="4" fillId="0" borderId="146" xfId="0" applyFont="1" applyBorder="1" applyAlignment="1">
      <alignment horizontal="left" vertical="center" wrapText="1"/>
    </xf>
    <xf numFmtId="0" fontId="4" fillId="0" borderId="72" xfId="0" applyFont="1" applyBorder="1" applyAlignment="1">
      <alignment horizontal="left" vertical="center" wrapText="1"/>
    </xf>
    <xf numFmtId="9" fontId="8" fillId="0" borderId="17" xfId="0" applyNumberFormat="1" applyFont="1" applyBorder="1" applyAlignment="1">
      <alignment horizontal="left" vertical="center" wrapText="1"/>
    </xf>
    <xf numFmtId="0" fontId="4" fillId="0" borderId="17" xfId="0" applyFont="1" applyBorder="1" applyAlignment="1">
      <alignment horizontal="center" vertical="center"/>
    </xf>
    <xf numFmtId="9" fontId="8" fillId="0" borderId="17" xfId="0" applyNumberFormat="1" applyFont="1" applyBorder="1" applyAlignment="1">
      <alignment horizontal="center" wrapText="1"/>
    </xf>
    <xf numFmtId="165" fontId="8" fillId="0" borderId="17" xfId="0" applyNumberFormat="1" applyFont="1" applyBorder="1" applyAlignment="1">
      <alignment horizontal="center"/>
    </xf>
    <xf numFmtId="0" fontId="8" fillId="0" borderId="91" xfId="0" applyFont="1" applyBorder="1"/>
    <xf numFmtId="0" fontId="8" fillId="0" borderId="5" xfId="0" applyFont="1" applyBorder="1"/>
    <xf numFmtId="0" fontId="8" fillId="0" borderId="56" xfId="0" applyFont="1" applyBorder="1" applyAlignment="1">
      <alignment horizontal="justify"/>
    </xf>
    <xf numFmtId="0" fontId="8" fillId="0" borderId="56" xfId="0" applyFont="1" applyBorder="1" applyAlignment="1">
      <alignment horizontal="center" wrapText="1"/>
    </xf>
    <xf numFmtId="43" fontId="8" fillId="0" borderId="6" xfId="0" applyNumberFormat="1" applyFont="1" applyBorder="1" applyAlignment="1">
      <alignment horizontal="center"/>
    </xf>
    <xf numFmtId="165" fontId="8" fillId="0" borderId="6" xfId="0" applyNumberFormat="1" applyFont="1" applyBorder="1" applyAlignment="1">
      <alignment horizontal="center" wrapText="1"/>
    </xf>
    <xf numFmtId="43" fontId="8" fillId="0" borderId="6" xfId="0" applyNumberFormat="1" applyFont="1" applyBorder="1" applyAlignment="1">
      <alignment horizontal="center" wrapText="1"/>
    </xf>
    <xf numFmtId="43" fontId="8" fillId="0" borderId="54" xfId="0" applyNumberFormat="1" applyFont="1" applyBorder="1" applyAlignment="1">
      <alignment horizontal="center"/>
    </xf>
    <xf numFmtId="165" fontId="5" fillId="0" borderId="0" xfId="1" applyNumberFormat="1" applyFont="1"/>
    <xf numFmtId="165" fontId="5" fillId="0" borderId="145" xfId="0" applyNumberFormat="1" applyFont="1" applyBorder="1" applyAlignment="1">
      <alignment horizontal="center"/>
    </xf>
    <xf numFmtId="165" fontId="5" fillId="0" borderId="145" xfId="0" applyNumberFormat="1" applyFont="1" applyBorder="1" applyAlignment="1">
      <alignment horizontal="center" wrapText="1"/>
    </xf>
    <xf numFmtId="0" fontId="8" fillId="0" borderId="113" xfId="0" applyFont="1" applyBorder="1" applyAlignment="1">
      <alignment horizontal="center"/>
    </xf>
    <xf numFmtId="165" fontId="8" fillId="0" borderId="1" xfId="1" applyNumberFormat="1" applyFont="1" applyBorder="1"/>
    <xf numFmtId="43" fontId="8" fillId="0" borderId="5" xfId="1" applyFont="1" applyBorder="1" applyAlignment="1"/>
    <xf numFmtId="165" fontId="5" fillId="0" borderId="0" xfId="0" applyNumberFormat="1" applyFont="1"/>
    <xf numFmtId="41" fontId="28" fillId="0" borderId="0" xfId="0" applyNumberFormat="1" applyFont="1"/>
    <xf numFmtId="0" fontId="8" fillId="0" borderId="114" xfId="0" applyFont="1" applyBorder="1"/>
    <xf numFmtId="0" fontId="8" fillId="0" borderId="115" xfId="0" applyFont="1" applyBorder="1"/>
    <xf numFmtId="0" fontId="8" fillId="0" borderId="101" xfId="0" applyFont="1" applyBorder="1" applyAlignment="1"/>
    <xf numFmtId="41" fontId="8" fillId="0" borderId="0" xfId="0" applyNumberFormat="1" applyFont="1" applyBorder="1"/>
    <xf numFmtId="0" fontId="15" fillId="0" borderId="52" xfId="0" applyFont="1" applyBorder="1" applyAlignment="1">
      <alignment horizontal="center" wrapText="1"/>
    </xf>
    <xf numFmtId="0" fontId="7" fillId="0" borderId="37" xfId="0" applyFont="1" applyBorder="1" applyAlignment="1">
      <alignment horizontal="left"/>
    </xf>
    <xf numFmtId="165" fontId="15" fillId="0" borderId="7" xfId="0" applyNumberFormat="1" applyFont="1" applyBorder="1" applyAlignment="1">
      <alignment horizontal="center" wrapText="1"/>
    </xf>
    <xf numFmtId="43" fontId="8" fillId="0" borderId="0" xfId="1" applyFont="1"/>
    <xf numFmtId="165" fontId="5" fillId="0" borderId="0" xfId="1" applyNumberFormat="1" applyFont="1" applyFill="1" applyBorder="1" applyAlignment="1">
      <alignment vertical="center"/>
    </xf>
    <xf numFmtId="165" fontId="8" fillId="0" borderId="0" xfId="1" applyNumberFormat="1" applyFont="1" applyFill="1" applyBorder="1" applyAlignment="1">
      <alignment vertical="center"/>
    </xf>
    <xf numFmtId="165" fontId="15" fillId="0" borderId="57" xfId="1" applyNumberFormat="1" applyFont="1" applyFill="1" applyBorder="1" applyAlignment="1">
      <alignment vertical="center"/>
    </xf>
    <xf numFmtId="0" fontId="15" fillId="0" borderId="37" xfId="0" applyFont="1" applyBorder="1" applyAlignment="1">
      <alignment horizontal="left"/>
    </xf>
    <xf numFmtId="165" fontId="15" fillId="0" borderId="55" xfId="1" applyNumberFormat="1" applyFont="1" applyFill="1" applyBorder="1" applyAlignment="1">
      <alignment vertical="center"/>
    </xf>
    <xf numFmtId="0" fontId="7" fillId="0" borderId="55" xfId="0" applyFont="1" applyBorder="1" applyAlignment="1">
      <alignment horizontal="left"/>
    </xf>
    <xf numFmtId="0" fontId="15" fillId="0" borderId="55" xfId="0" applyFont="1" applyBorder="1" applyAlignment="1">
      <alignment horizontal="left"/>
    </xf>
    <xf numFmtId="0" fontId="15" fillId="0" borderId="7" xfId="0" applyFont="1" applyBorder="1" applyAlignment="1">
      <alignment horizontal="left"/>
    </xf>
    <xf numFmtId="165" fontId="15" fillId="0" borderId="7" xfId="1" applyNumberFormat="1" applyFont="1" applyBorder="1" applyAlignment="1">
      <alignment horizontal="center" wrapText="1"/>
    </xf>
    <xf numFmtId="0" fontId="50" fillId="0" borderId="37" xfId="0" quotePrefix="1" applyFont="1" applyBorder="1" applyAlignment="1">
      <alignment horizontal="left"/>
    </xf>
    <xf numFmtId="0" fontId="50" fillId="0" borderId="35" xfId="0" applyFont="1" applyBorder="1" applyAlignment="1">
      <alignment horizontal="center" wrapText="1"/>
    </xf>
    <xf numFmtId="0" fontId="50" fillId="0" borderId="53" xfId="0" applyFont="1" applyBorder="1" applyAlignment="1">
      <alignment horizontal="center" wrapText="1"/>
    </xf>
    <xf numFmtId="165" fontId="50" fillId="0" borderId="7" xfId="1" applyNumberFormat="1" applyFont="1" applyBorder="1" applyAlignment="1">
      <alignment horizontal="center" wrapText="1"/>
    </xf>
    <xf numFmtId="165" fontId="50" fillId="0" borderId="37" xfId="1" applyNumberFormat="1" applyFont="1" applyBorder="1" applyAlignment="1">
      <alignment horizontal="center" wrapText="1"/>
    </xf>
    <xf numFmtId="165" fontId="50" fillId="0" borderId="6" xfId="1" applyNumberFormat="1" applyFont="1" applyBorder="1" applyAlignment="1">
      <alignment horizontal="center" wrapText="1"/>
    </xf>
    <xf numFmtId="0" fontId="8" fillId="0" borderId="0" xfId="0" applyFont="1" applyAlignment="1">
      <alignment horizontal="right"/>
    </xf>
    <xf numFmtId="0" fontId="32" fillId="0" borderId="0" xfId="0" applyFont="1"/>
    <xf numFmtId="0" fontId="15" fillId="0" borderId="37" xfId="0" applyFont="1" applyBorder="1" applyAlignment="1">
      <alignment horizontal="center" vertical="center" wrapText="1"/>
    </xf>
    <xf numFmtId="165" fontId="15" fillId="0" borderId="7" xfId="0" applyNumberFormat="1" applyFont="1" applyBorder="1" applyAlignment="1">
      <alignment horizontal="center" vertical="center" wrapText="1"/>
    </xf>
    <xf numFmtId="165" fontId="15" fillId="0" borderId="39" xfId="1" applyNumberFormat="1" applyFont="1" applyBorder="1" applyAlignment="1">
      <alignment horizontal="center" wrapText="1"/>
    </xf>
    <xf numFmtId="0" fontId="15" fillId="0" borderId="107" xfId="0" applyFont="1" applyBorder="1" applyAlignment="1">
      <alignment horizontal="center" wrapText="1"/>
    </xf>
    <xf numFmtId="0" fontId="15" fillId="0" borderId="109" xfId="0" applyFont="1" applyBorder="1" applyAlignment="1">
      <alignment horizontal="center" wrapText="1"/>
    </xf>
    <xf numFmtId="165" fontId="8" fillId="0" borderId="0" xfId="0" applyNumberFormat="1" applyFont="1" applyBorder="1"/>
    <xf numFmtId="0" fontId="8" fillId="0" borderId="91" xfId="0" applyFont="1" applyBorder="1" applyAlignment="1"/>
    <xf numFmtId="0" fontId="8" fillId="0" borderId="4" xfId="9" applyFont="1" applyBorder="1" applyAlignment="1"/>
    <xf numFmtId="0" fontId="8" fillId="0" borderId="5" xfId="9" applyFont="1" applyBorder="1" applyAlignment="1"/>
    <xf numFmtId="0" fontId="8" fillId="0" borderId="76" xfId="9" applyFont="1" applyBorder="1" applyAlignment="1"/>
    <xf numFmtId="0" fontId="8" fillId="0" borderId="0" xfId="9" applyFont="1" applyBorder="1" applyAlignment="1"/>
    <xf numFmtId="0" fontId="15" fillId="0" borderId="194" xfId="0" applyFont="1" applyBorder="1" applyAlignment="1">
      <alignment horizontal="center" wrapText="1"/>
    </xf>
    <xf numFmtId="0" fontId="8" fillId="0" borderId="194" xfId="0" applyFont="1" applyBorder="1" applyAlignment="1">
      <alignment horizontal="center" wrapText="1"/>
    </xf>
    <xf numFmtId="0" fontId="15" fillId="0" borderId="80" xfId="0" applyFont="1" applyBorder="1" applyAlignment="1">
      <alignment horizontal="center" vertical="center"/>
    </xf>
    <xf numFmtId="0" fontId="15" fillId="0" borderId="194" xfId="0" applyFont="1" applyBorder="1" applyAlignment="1">
      <alignment horizontal="center" vertical="center" wrapText="1"/>
    </xf>
    <xf numFmtId="0" fontId="8" fillId="0" borderId="80" xfId="0" applyFont="1" applyBorder="1" applyAlignment="1">
      <alignment horizontal="center" vertical="center"/>
    </xf>
    <xf numFmtId="0" fontId="8" fillId="0" borderId="194" xfId="0" applyFont="1" applyBorder="1" applyAlignment="1">
      <alignment horizontal="center" vertical="center" wrapText="1"/>
    </xf>
    <xf numFmtId="0" fontId="8" fillId="0" borderId="98" xfId="0" applyFont="1" applyBorder="1" applyAlignment="1">
      <alignment horizontal="center" vertical="center" wrapText="1"/>
    </xf>
    <xf numFmtId="0" fontId="5" fillId="0" borderId="107" xfId="0" applyFont="1" applyBorder="1" applyAlignment="1">
      <alignment horizontal="center"/>
    </xf>
    <xf numFmtId="0" fontId="5" fillId="0" borderId="126" xfId="0" applyFont="1" applyBorder="1" applyAlignment="1">
      <alignment horizontal="center"/>
    </xf>
    <xf numFmtId="0" fontId="5" fillId="0" borderId="210" xfId="0" applyFont="1" applyBorder="1" applyAlignment="1">
      <alignment horizontal="center"/>
    </xf>
    <xf numFmtId="0" fontId="5" fillId="0" borderId="193" xfId="0" applyFont="1" applyBorder="1" applyAlignment="1">
      <alignment horizontal="center"/>
    </xf>
    <xf numFmtId="0" fontId="7" fillId="0" borderId="194" xfId="0" applyFont="1" applyBorder="1"/>
    <xf numFmtId="165" fontId="5" fillId="0" borderId="193" xfId="1" applyNumberFormat="1" applyFont="1" applyBorder="1" applyAlignment="1"/>
    <xf numFmtId="0" fontId="5" fillId="0" borderId="194" xfId="0" applyFont="1" applyBorder="1" applyAlignment="1"/>
    <xf numFmtId="0" fontId="15" fillId="0" borderId="194" xfId="0" applyFont="1" applyBorder="1" applyAlignment="1"/>
    <xf numFmtId="43" fontId="15" fillId="0" borderId="193" xfId="1" applyFont="1" applyBorder="1"/>
    <xf numFmtId="165" fontId="8" fillId="0" borderId="193" xfId="1" applyNumberFormat="1" applyFont="1" applyBorder="1" applyAlignment="1"/>
    <xf numFmtId="43" fontId="15" fillId="0" borderId="193" xfId="1" applyFont="1" applyBorder="1" applyAlignment="1"/>
    <xf numFmtId="0" fontId="8" fillId="0" borderId="194" xfId="0" applyFont="1" applyBorder="1" applyAlignment="1"/>
    <xf numFmtId="43" fontId="8" fillId="0" borderId="193" xfId="1" applyFont="1" applyBorder="1"/>
    <xf numFmtId="165" fontId="5" fillId="0" borderId="193" xfId="0" applyNumberFormat="1" applyFont="1" applyBorder="1" applyAlignment="1">
      <alignment wrapText="1"/>
    </xf>
    <xf numFmtId="41" fontId="8" fillId="0" borderId="193" xfId="2" applyFont="1" applyBorder="1" applyAlignment="1"/>
    <xf numFmtId="0" fontId="15" fillId="0" borderId="194" xfId="0" applyFont="1" applyBorder="1" applyAlignment="1">
      <alignment horizontal="right"/>
    </xf>
    <xf numFmtId="43" fontId="15" fillId="0" borderId="211" xfId="1" applyFont="1" applyBorder="1" applyAlignment="1"/>
    <xf numFmtId="0" fontId="8" fillId="0" borderId="193" xfId="0" applyFont="1" applyBorder="1"/>
    <xf numFmtId="165" fontId="8" fillId="0" borderId="0" xfId="1" applyNumberFormat="1" applyFont="1" applyAlignment="1">
      <alignment horizontal="center"/>
    </xf>
    <xf numFmtId="41" fontId="5" fillId="0" borderId="0" xfId="2" applyFont="1"/>
    <xf numFmtId="165" fontId="8" fillId="0" borderId="0" xfId="0" applyNumberFormat="1" applyFont="1" applyAlignment="1">
      <alignment horizontal="right"/>
    </xf>
    <xf numFmtId="165" fontId="5" fillId="4" borderId="1" xfId="1" applyNumberFormat="1" applyFont="1" applyFill="1" applyBorder="1"/>
    <xf numFmtId="165" fontId="8" fillId="4" borderId="0" xfId="0" applyNumberFormat="1" applyFont="1" applyFill="1"/>
    <xf numFmtId="165" fontId="28" fillId="0" borderId="0" xfId="0" applyNumberFormat="1" applyFont="1"/>
    <xf numFmtId="165" fontId="5" fillId="4" borderId="0" xfId="0" applyNumberFormat="1" applyFont="1" applyFill="1"/>
    <xf numFmtId="41" fontId="8" fillId="0" borderId="109" xfId="1" applyNumberFormat="1" applyFont="1" applyBorder="1" applyAlignment="1"/>
    <xf numFmtId="0" fontId="8" fillId="0" borderId="117" xfId="0" applyFont="1" applyBorder="1" applyAlignment="1">
      <alignment horizontal="center" wrapText="1"/>
    </xf>
    <xf numFmtId="0" fontId="8" fillId="0" borderId="117" xfId="0" applyFont="1" applyBorder="1" applyAlignment="1">
      <alignment horizontal="right"/>
    </xf>
    <xf numFmtId="43" fontId="8" fillId="0" borderId="121" xfId="1" applyFont="1" applyBorder="1" applyAlignment="1"/>
    <xf numFmtId="43" fontId="8" fillId="0" borderId="109" xfId="1" applyFont="1" applyBorder="1" applyAlignment="1"/>
    <xf numFmtId="0" fontId="8" fillId="0" borderId="101" xfId="0" applyFont="1" applyBorder="1"/>
    <xf numFmtId="0" fontId="8" fillId="0" borderId="0" xfId="0" applyFont="1" applyFill="1" applyBorder="1"/>
    <xf numFmtId="0" fontId="52" fillId="0" borderId="0" xfId="0" applyFont="1" applyFill="1" applyBorder="1" applyAlignment="1"/>
    <xf numFmtId="0" fontId="51" fillId="0" borderId="0" xfId="0" applyFont="1" applyFill="1" applyBorder="1" applyAlignment="1">
      <alignment horizontal="center"/>
    </xf>
    <xf numFmtId="0" fontId="54" fillId="0" borderId="0" xfId="0" applyFont="1" applyFill="1" applyBorder="1" applyAlignment="1">
      <alignment horizontal="center"/>
    </xf>
    <xf numFmtId="0" fontId="25" fillId="0" borderId="0" xfId="0" applyFont="1" applyFill="1" applyBorder="1"/>
    <xf numFmtId="0" fontId="25" fillId="0" borderId="0" xfId="0" applyFont="1" applyFill="1" applyBorder="1" applyAlignment="1">
      <alignment horizontal="left"/>
    </xf>
    <xf numFmtId="0" fontId="25" fillId="0" borderId="0" xfId="0" applyFont="1" applyFill="1" applyBorder="1" applyAlignment="1"/>
    <xf numFmtId="0" fontId="25" fillId="0" borderId="0" xfId="0" applyFont="1" applyFill="1" applyBorder="1" applyAlignment="1">
      <alignment horizontal="right"/>
    </xf>
    <xf numFmtId="0" fontId="8" fillId="0" borderId="0" xfId="0" applyFont="1" applyAlignment="1">
      <alignment horizontal="left" vertical="center"/>
    </xf>
    <xf numFmtId="0" fontId="8" fillId="0" borderId="0" xfId="0" applyFont="1" applyBorder="1" applyAlignment="1">
      <alignment vertical="center"/>
    </xf>
    <xf numFmtId="0" fontId="5" fillId="0" borderId="0" xfId="0" applyFont="1" applyAlignment="1">
      <alignment horizontal="centerContinuous" vertical="center"/>
    </xf>
    <xf numFmtId="0" fontId="6" fillId="0" borderId="0" xfId="0" applyFont="1" applyAlignment="1">
      <alignment horizontal="centerContinuous" vertical="center"/>
    </xf>
    <xf numFmtId="0" fontId="47" fillId="0" borderId="0" xfId="0" applyFont="1" applyAlignment="1">
      <alignment horizontal="centerContinuous" vertical="center"/>
    </xf>
    <xf numFmtId="0" fontId="55" fillId="0" borderId="0" xfId="0" applyFont="1" applyAlignment="1">
      <alignment vertical="center"/>
    </xf>
    <xf numFmtId="0" fontId="5" fillId="0" borderId="0" xfId="0" applyFont="1" applyAlignment="1">
      <alignment horizontal="left" vertical="center"/>
    </xf>
    <xf numFmtId="0" fontId="9" fillId="0" borderId="0" xfId="0" applyFont="1" applyBorder="1" applyAlignment="1">
      <alignment horizontal="left"/>
    </xf>
    <xf numFmtId="0" fontId="9" fillId="0" borderId="0" xfId="0" applyFont="1" applyBorder="1" applyAlignment="1"/>
    <xf numFmtId="0" fontId="5" fillId="0" borderId="30" xfId="0" applyFont="1" applyBorder="1" applyAlignment="1">
      <alignment horizontal="center" vertical="center"/>
    </xf>
    <xf numFmtId="0" fontId="5" fillId="0" borderId="28" xfId="0" applyFont="1" applyBorder="1" applyAlignment="1">
      <alignment horizontal="centerContinuous" vertical="center"/>
    </xf>
    <xf numFmtId="0" fontId="5" fillId="0" borderId="29" xfId="0" applyFont="1" applyBorder="1" applyAlignment="1">
      <alignment horizontal="centerContinuous" vertical="center"/>
    </xf>
    <xf numFmtId="0" fontId="5" fillId="0" borderId="0" xfId="0" applyFont="1" applyAlignment="1">
      <alignment horizontal="center" vertical="center"/>
    </xf>
    <xf numFmtId="0" fontId="8" fillId="0" borderId="31" xfId="0" applyFont="1" applyBorder="1" applyAlignment="1">
      <alignment vertical="center"/>
    </xf>
    <xf numFmtId="0" fontId="8" fillId="0" borderId="32" xfId="0" applyFont="1" applyBorder="1" applyAlignment="1">
      <alignment horizontal="lef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42" xfId="0" applyFont="1" applyBorder="1" applyAlignment="1">
      <alignment vertical="center"/>
    </xf>
    <xf numFmtId="0" fontId="8" fillId="0" borderId="37" xfId="0" applyFont="1" applyBorder="1" applyAlignment="1">
      <alignment horizontal="left" vertical="center"/>
    </xf>
    <xf numFmtId="0" fontId="8" fillId="0" borderId="4"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horizontal="left" vertical="center"/>
    </xf>
    <xf numFmtId="0" fontId="8" fillId="0" borderId="5"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35" xfId="0" applyFont="1" applyBorder="1" applyAlignment="1">
      <alignment horizontal="left" vertical="center"/>
    </xf>
    <xf numFmtId="0" fontId="8" fillId="0" borderId="1" xfId="0" applyFont="1" applyBorder="1" applyAlignment="1">
      <alignment vertical="center"/>
    </xf>
    <xf numFmtId="0" fontId="8" fillId="0" borderId="36" xfId="0" applyFont="1" applyBorder="1" applyAlignment="1">
      <alignment vertical="center"/>
    </xf>
    <xf numFmtId="0" fontId="8" fillId="0" borderId="4" xfId="0" applyFont="1" applyBorder="1" applyAlignment="1">
      <alignment horizontal="left" vertical="center"/>
    </xf>
    <xf numFmtId="0" fontId="8" fillId="0" borderId="45" xfId="0" applyFont="1" applyBorder="1" applyAlignment="1">
      <alignment vertical="center"/>
    </xf>
    <xf numFmtId="0" fontId="8" fillId="0" borderId="5" xfId="0" applyFont="1" applyBorder="1" applyAlignment="1">
      <alignment horizontal="left" vertical="center"/>
    </xf>
    <xf numFmtId="0" fontId="8" fillId="0" borderId="0" xfId="0" applyFont="1" applyAlignment="1">
      <alignment vertical="center" wrapText="1"/>
    </xf>
    <xf numFmtId="0" fontId="15" fillId="0" borderId="51" xfId="0" applyFont="1" applyBorder="1" applyAlignment="1">
      <alignment horizontal="center" vertical="center"/>
    </xf>
    <xf numFmtId="0" fontId="15" fillId="0" borderId="6" xfId="0" quotePrefix="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wrapText="1"/>
    </xf>
    <xf numFmtId="0" fontId="15" fillId="0" borderId="7" xfId="0" quotePrefix="1" applyFont="1" applyBorder="1" applyAlignment="1">
      <alignment horizontal="center" vertical="center" wrapText="1"/>
    </xf>
    <xf numFmtId="0" fontId="15" fillId="0" borderId="95" xfId="0" applyFont="1" applyBorder="1" applyAlignment="1">
      <alignment horizontal="center" vertical="center"/>
    </xf>
    <xf numFmtId="0" fontId="15" fillId="0" borderId="53" xfId="0" quotePrefix="1" applyFont="1" applyBorder="1" applyAlignment="1">
      <alignment horizontal="center" vertical="center"/>
    </xf>
    <xf numFmtId="0" fontId="15" fillId="0" borderId="53" xfId="0" applyFont="1" applyBorder="1" applyAlignment="1">
      <alignment horizontal="center" vertical="center"/>
    </xf>
    <xf numFmtId="0" fontId="15" fillId="0" borderId="55" xfId="0" applyFont="1" applyBorder="1" applyAlignment="1">
      <alignment horizontal="center" vertical="center" wrapText="1"/>
    </xf>
    <xf numFmtId="0" fontId="15" fillId="0" borderId="55" xfId="0" quotePrefix="1" applyFont="1" applyBorder="1" applyAlignment="1">
      <alignment horizontal="center" vertical="center" wrapText="1"/>
    </xf>
    <xf numFmtId="0" fontId="15" fillId="0" borderId="106" xfId="0" applyFont="1" applyBorder="1" applyAlignment="1">
      <alignment horizontal="center" vertical="center"/>
    </xf>
    <xf numFmtId="0" fontId="15" fillId="0" borderId="56" xfId="0" applyFont="1" applyBorder="1" applyAlignment="1">
      <alignment horizontal="center" vertical="center"/>
    </xf>
    <xf numFmtId="0" fontId="15" fillId="0" borderId="104"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5" xfId="0" applyFont="1" applyBorder="1" applyAlignment="1">
      <alignment horizontal="center" vertical="center" wrapText="1"/>
    </xf>
    <xf numFmtId="0" fontId="7" fillId="0" borderId="104" xfId="0" applyFont="1" applyBorder="1" applyAlignment="1">
      <alignment horizontal="left"/>
    </xf>
    <xf numFmtId="0" fontId="15" fillId="0" borderId="104" xfId="0" applyFont="1" applyBorder="1" applyAlignment="1">
      <alignment horizontal="left"/>
    </xf>
    <xf numFmtId="0" fontId="15" fillId="0" borderId="195" xfId="0" applyFont="1" applyBorder="1" applyAlignment="1">
      <alignment horizontal="left"/>
    </xf>
    <xf numFmtId="0" fontId="8" fillId="0" borderId="37" xfId="0" quotePrefix="1" applyFont="1" applyBorder="1" applyAlignment="1">
      <alignment horizontal="left" vertical="center" wrapText="1"/>
    </xf>
    <xf numFmtId="165" fontId="7" fillId="0" borderId="194" xfId="0" applyNumberFormat="1" applyFont="1" applyBorder="1" applyAlignment="1">
      <alignment wrapText="1"/>
    </xf>
    <xf numFmtId="165" fontId="15" fillId="0" borderId="194" xfId="0" applyNumberFormat="1" applyFont="1" applyBorder="1" applyAlignment="1">
      <alignment wrapText="1"/>
    </xf>
    <xf numFmtId="0" fontId="5" fillId="0" borderId="7" xfId="0" applyFont="1" applyBorder="1" applyAlignment="1">
      <alignment vertical="center" wrapText="1"/>
    </xf>
    <xf numFmtId="0" fontId="5" fillId="0" borderId="194" xfId="0" applyFont="1" applyBorder="1" applyAlignment="1">
      <alignment vertical="center" wrapText="1"/>
    </xf>
    <xf numFmtId="0" fontId="5" fillId="0" borderId="194" xfId="0" applyFont="1" applyBorder="1" applyAlignment="1">
      <alignment wrapText="1"/>
    </xf>
    <xf numFmtId="165" fontId="7" fillId="0" borderId="194" xfId="7" applyNumberFormat="1" applyFont="1" applyBorder="1" applyAlignment="1" applyProtection="1">
      <alignment wrapText="1"/>
    </xf>
    <xf numFmtId="165" fontId="15" fillId="0" borderId="194" xfId="1" applyNumberFormat="1" applyFont="1" applyBorder="1" applyAlignment="1">
      <alignment wrapText="1"/>
    </xf>
    <xf numFmtId="165" fontId="7" fillId="0" borderId="155" xfId="0" applyNumberFormat="1" applyFont="1" applyBorder="1" applyAlignment="1"/>
    <xf numFmtId="0" fontId="8" fillId="0" borderId="141" xfId="0" applyFont="1" applyBorder="1" applyAlignment="1">
      <alignment horizontal="center" wrapText="1"/>
    </xf>
    <xf numFmtId="0" fontId="8" fillId="0" borderId="194" xfId="9" applyFont="1" applyBorder="1" applyAlignment="1">
      <alignment horizontal="center"/>
    </xf>
    <xf numFmtId="0" fontId="8" fillId="0" borderId="15" xfId="9" applyFont="1" applyBorder="1" applyAlignment="1">
      <alignment horizontal="center"/>
    </xf>
    <xf numFmtId="165" fontId="15" fillId="0" borderId="4" xfId="0" applyNumberFormat="1" applyFont="1" applyBorder="1" applyAlignment="1">
      <alignment horizontal="center" wrapText="1"/>
    </xf>
    <xf numFmtId="165" fontId="15" fillId="0" borderId="4" xfId="0" applyNumberFormat="1" applyFont="1" applyBorder="1" applyAlignment="1">
      <alignment wrapText="1"/>
    </xf>
    <xf numFmtId="165" fontId="50" fillId="0" borderId="194" xfId="1" applyNumberFormat="1" applyFont="1" applyBorder="1" applyAlignment="1">
      <alignment horizontal="center" wrapText="1"/>
    </xf>
    <xf numFmtId="0" fontId="15" fillId="0" borderId="193" xfId="0" applyFont="1" applyBorder="1" applyAlignment="1">
      <alignment horizontal="center" wrapText="1"/>
    </xf>
    <xf numFmtId="0" fontId="15" fillId="0" borderId="126" xfId="0" applyFont="1" applyBorder="1" applyAlignment="1">
      <alignment horizontal="center" wrapText="1"/>
    </xf>
    <xf numFmtId="165" fontId="15" fillId="0" borderId="193" xfId="0" applyNumberFormat="1" applyFont="1" applyBorder="1" applyAlignment="1">
      <alignment horizontal="center" wrapText="1"/>
    </xf>
    <xf numFmtId="0" fontId="15" fillId="0" borderId="195" xfId="0" applyFont="1" applyBorder="1" applyAlignment="1">
      <alignment horizontal="center" wrapText="1"/>
    </xf>
    <xf numFmtId="165" fontId="15" fillId="0" borderId="195" xfId="0" applyNumberFormat="1" applyFont="1" applyBorder="1" applyAlignment="1">
      <alignment horizontal="center" wrapText="1"/>
    </xf>
    <xf numFmtId="0" fontId="50" fillId="0" borderId="194" xfId="0" applyFont="1" applyBorder="1" applyAlignment="1">
      <alignment horizontal="center" wrapText="1"/>
    </xf>
    <xf numFmtId="0" fontId="50" fillId="0" borderId="55" xfId="0" applyFont="1" applyBorder="1" applyAlignment="1">
      <alignment horizontal="center" wrapText="1"/>
    </xf>
    <xf numFmtId="0" fontId="5" fillId="0" borderId="0" xfId="0" applyFont="1" applyBorder="1"/>
    <xf numFmtId="0" fontId="5" fillId="0" borderId="81" xfId="0" applyFont="1" applyBorder="1"/>
    <xf numFmtId="165" fontId="15" fillId="0" borderId="195" xfId="1" applyNumberFormat="1" applyFont="1" applyFill="1" applyBorder="1" applyAlignment="1">
      <alignment vertical="center"/>
    </xf>
    <xf numFmtId="0" fontId="8" fillId="0" borderId="0" xfId="0" applyFont="1" applyBorder="1" applyAlignment="1">
      <alignment horizontal="center"/>
    </xf>
    <xf numFmtId="0" fontId="4" fillId="0" borderId="4" xfId="0" applyFont="1" applyBorder="1" applyAlignment="1">
      <alignment horizontal="left" vertical="center" wrapText="1"/>
    </xf>
    <xf numFmtId="0" fontId="8" fillId="0" borderId="4" xfId="0" applyFont="1" applyBorder="1" applyAlignment="1">
      <alignment horizontal="center" wrapText="1"/>
    </xf>
    <xf numFmtId="0" fontId="8" fillId="0" borderId="27" xfId="9" applyFont="1" applyBorder="1" applyAlignment="1">
      <alignment horizontal="center"/>
    </xf>
    <xf numFmtId="165" fontId="8" fillId="0" borderId="17" xfId="0" applyNumberFormat="1" applyFont="1" applyFill="1" applyBorder="1" applyAlignment="1">
      <alignment horizontal="center" vertical="center" wrapText="1"/>
    </xf>
    <xf numFmtId="0" fontId="8" fillId="0" borderId="16" xfId="0" applyFont="1" applyBorder="1" applyAlignment="1">
      <alignment horizontal="center" wrapText="1"/>
    </xf>
    <xf numFmtId="0" fontId="3" fillId="0" borderId="0" xfId="0" applyFont="1" applyBorder="1" applyAlignment="1">
      <alignment horizontal="center"/>
    </xf>
    <xf numFmtId="0" fontId="3" fillId="0" borderId="81" xfId="0" applyFont="1" applyBorder="1" applyAlignment="1">
      <alignment horizontal="center"/>
    </xf>
    <xf numFmtId="0" fontId="4" fillId="0" borderId="4" xfId="0" applyFont="1" applyBorder="1" applyAlignment="1">
      <alignment wrapText="1"/>
    </xf>
    <xf numFmtId="42" fontId="8" fillId="0" borderId="0" xfId="5" applyFont="1" applyBorder="1" applyAlignment="1">
      <alignment horizontal="center" wrapText="1"/>
    </xf>
    <xf numFmtId="0" fontId="4" fillId="0" borderId="122" xfId="0" applyFont="1" applyBorder="1" applyAlignment="1">
      <alignment horizontal="left" wrapText="1"/>
    </xf>
    <xf numFmtId="0" fontId="4" fillId="0" borderId="80" xfId="0" applyFont="1" applyBorder="1" applyAlignment="1"/>
    <xf numFmtId="0" fontId="4" fillId="0" borderId="4" xfId="0" applyFont="1" applyBorder="1" applyAlignment="1"/>
    <xf numFmtId="0" fontId="8" fillId="0" borderId="0" xfId="0" applyFont="1" applyBorder="1" applyAlignment="1">
      <alignment horizontal="center" wrapText="1"/>
    </xf>
    <xf numFmtId="0" fontId="8" fillId="0" borderId="0" xfId="0" applyFont="1" applyAlignment="1">
      <alignment horizontal="center"/>
    </xf>
    <xf numFmtId="0" fontId="8" fillId="0" borderId="53" xfId="0" applyFont="1" applyBorder="1" applyAlignment="1">
      <alignment horizontal="center" wrapText="1"/>
    </xf>
    <xf numFmtId="164" fontId="4" fillId="0" borderId="4" xfId="0" applyNumberFormat="1" applyFont="1" applyBorder="1" applyAlignment="1">
      <alignment horizontal="center" wrapText="1"/>
    </xf>
    <xf numFmtId="0" fontId="3" fillId="0" borderId="80" xfId="0" applyFont="1" applyBorder="1" applyAlignment="1">
      <alignment horizontal="right" wrapText="1"/>
    </xf>
    <xf numFmtId="0" fontId="3" fillId="0" borderId="4" xfId="0" applyFont="1" applyBorder="1" applyAlignment="1">
      <alignment horizontal="right" wrapText="1"/>
    </xf>
    <xf numFmtId="0" fontId="5" fillId="0" borderId="15" xfId="0" applyFont="1" applyBorder="1" applyAlignment="1">
      <alignment horizontal="center" wrapText="1"/>
    </xf>
    <xf numFmtId="0" fontId="8" fillId="0" borderId="18" xfId="0" quotePrefix="1" applyFont="1" applyBorder="1" applyAlignment="1">
      <alignment horizontal="center" wrapText="1"/>
    </xf>
    <xf numFmtId="0" fontId="8" fillId="0" borderId="17" xfId="0" applyFont="1" applyBorder="1" applyAlignment="1">
      <alignment horizontal="center" wrapText="1"/>
    </xf>
    <xf numFmtId="0" fontId="8" fillId="0" borderId="18" xfId="0" applyFont="1" applyBorder="1" applyAlignment="1">
      <alignment horizontal="center" wrapText="1"/>
    </xf>
    <xf numFmtId="0" fontId="8" fillId="0" borderId="5" xfId="0" applyFont="1" applyBorder="1" applyAlignment="1">
      <alignment horizontal="center" wrapText="1"/>
    </xf>
    <xf numFmtId="0" fontId="7" fillId="0" borderId="0" xfId="0" applyFont="1" applyBorder="1" applyAlignment="1">
      <alignment horizontal="center"/>
    </xf>
    <xf numFmtId="0" fontId="7" fillId="0" borderId="81" xfId="0" applyFont="1" applyBorder="1" applyAlignment="1">
      <alignment horizontal="center"/>
    </xf>
    <xf numFmtId="42" fontId="8" fillId="0" borderId="81" xfId="5" applyFont="1" applyBorder="1" applyAlignment="1">
      <alignment horizontal="center" wrapText="1"/>
    </xf>
    <xf numFmtId="0" fontId="8" fillId="0" borderId="6" xfId="0" applyFont="1" applyBorder="1" applyAlignment="1">
      <alignment horizontal="center"/>
    </xf>
    <xf numFmtId="0" fontId="35" fillId="0" borderId="15" xfId="8" applyFont="1" applyBorder="1" applyAlignment="1">
      <alignment horizontal="center" wrapText="1"/>
    </xf>
    <xf numFmtId="0" fontId="36" fillId="0" borderId="0" xfId="8" applyFont="1" applyBorder="1" applyAlignment="1">
      <alignment horizontal="center" wrapText="1"/>
    </xf>
    <xf numFmtId="42" fontId="36" fillId="0" borderId="0" xfId="6" applyFont="1" applyBorder="1" applyAlignment="1">
      <alignment horizontal="center" wrapText="1"/>
    </xf>
    <xf numFmtId="0" fontId="38" fillId="0" borderId="0" xfId="8" applyFont="1" applyBorder="1" applyAlignment="1">
      <alignment horizontal="center"/>
    </xf>
    <xf numFmtId="0" fontId="35" fillId="0" borderId="0" xfId="8" applyFont="1" applyBorder="1" applyAlignment="1">
      <alignment horizontal="center" wrapText="1"/>
    </xf>
    <xf numFmtId="0" fontId="34" fillId="0" borderId="4" xfId="8" applyFont="1" applyBorder="1" applyAlignment="1">
      <alignment wrapText="1"/>
    </xf>
    <xf numFmtId="0" fontId="34" fillId="0" borderId="4" xfId="8" applyFont="1" applyBorder="1" applyAlignment="1">
      <alignment vertical="center" wrapText="1"/>
    </xf>
    <xf numFmtId="0" fontId="4" fillId="0" borderId="4" xfId="0" applyFont="1" applyBorder="1" applyAlignment="1">
      <alignment vertical="center" wrapText="1"/>
    </xf>
    <xf numFmtId="42" fontId="8" fillId="0" borderId="0" xfId="6" applyFont="1" applyBorder="1" applyAlignment="1">
      <alignment horizontal="center" wrapText="1"/>
    </xf>
    <xf numFmtId="42" fontId="8" fillId="0" borderId="0" xfId="14" applyFont="1" applyBorder="1" applyAlignment="1">
      <alignment horizontal="center" wrapText="1"/>
    </xf>
    <xf numFmtId="0" fontId="8" fillId="0" borderId="4" xfId="0" applyFont="1" applyBorder="1" applyAlignment="1">
      <alignment wrapText="1"/>
    </xf>
    <xf numFmtId="0" fontId="8" fillId="0" borderId="122" xfId="0" applyFont="1" applyBorder="1" applyAlignment="1">
      <alignment horizontal="left" wrapText="1"/>
    </xf>
    <xf numFmtId="0" fontId="8" fillId="0" borderId="1" xfId="0" applyFont="1" applyBorder="1" applyAlignment="1">
      <alignment vertical="top" wrapText="1"/>
    </xf>
    <xf numFmtId="0" fontId="8" fillId="0" borderId="82" xfId="0" applyFont="1" applyBorder="1" applyAlignment="1">
      <alignment vertical="top" wrapText="1"/>
    </xf>
    <xf numFmtId="42" fontId="36" fillId="0" borderId="0" xfId="14" applyFont="1" applyBorder="1" applyAlignment="1">
      <alignment horizontal="center" wrapText="1"/>
    </xf>
    <xf numFmtId="42" fontId="35" fillId="0" borderId="0" xfId="14" applyFont="1" applyBorder="1" applyAlignment="1">
      <alignment horizontal="center" wrapText="1"/>
    </xf>
    <xf numFmtId="0" fontId="8" fillId="0" borderId="4" xfId="0" applyFont="1" applyBorder="1" applyAlignment="1">
      <alignment vertical="top"/>
    </xf>
    <xf numFmtId="0" fontId="8" fillId="0" borderId="54" xfId="0" applyFont="1" applyBorder="1" applyAlignment="1">
      <alignment vertical="top"/>
    </xf>
    <xf numFmtId="0" fontId="8" fillId="0" borderId="1" xfId="0" applyFont="1" applyBorder="1" applyAlignment="1">
      <alignment vertical="top"/>
    </xf>
    <xf numFmtId="0" fontId="8" fillId="0" borderId="82" xfId="0" applyFont="1" applyBorder="1" applyAlignment="1">
      <alignment vertical="top"/>
    </xf>
    <xf numFmtId="0" fontId="8" fillId="4" borderId="0" xfId="0" applyFont="1" applyFill="1"/>
    <xf numFmtId="43" fontId="8" fillId="0" borderId="18" xfId="0" applyNumberFormat="1" applyFont="1" applyBorder="1" applyAlignment="1">
      <alignment horizontal="center" vertical="center" wrapText="1"/>
    </xf>
    <xf numFmtId="165" fontId="8" fillId="0" borderId="19" xfId="0" applyNumberFormat="1" applyFont="1" applyBorder="1" applyAlignment="1">
      <alignment horizontal="center" vertical="center" wrapText="1"/>
    </xf>
    <xf numFmtId="41" fontId="8" fillId="0" borderId="87" xfId="0" applyNumberFormat="1" applyFont="1" applyBorder="1" applyAlignment="1">
      <alignment horizontal="center" vertical="center" wrapText="1"/>
    </xf>
    <xf numFmtId="0" fontId="8" fillId="0" borderId="55" xfId="0" applyFont="1" applyBorder="1" applyAlignment="1">
      <alignment horizontal="center" wrapText="1"/>
    </xf>
    <xf numFmtId="43" fontId="8" fillId="0" borderId="70" xfId="0" applyNumberFormat="1" applyFont="1" applyBorder="1" applyAlignment="1">
      <alignment horizontal="center" wrapText="1"/>
    </xf>
    <xf numFmtId="43" fontId="8" fillId="0" borderId="87" xfId="0" applyNumberFormat="1" applyFont="1" applyBorder="1" applyAlignment="1">
      <alignment horizontal="center" wrapText="1"/>
    </xf>
    <xf numFmtId="43" fontId="8" fillId="0" borderId="0" xfId="1" applyFont="1" applyBorder="1" applyAlignment="1"/>
    <xf numFmtId="41" fontId="5" fillId="0" borderId="193" xfId="0" applyNumberFormat="1" applyFont="1" applyBorder="1" applyAlignment="1">
      <alignment horizontal="center" wrapText="1"/>
    </xf>
    <xf numFmtId="0" fontId="8" fillId="0" borderId="1" xfId="0" applyFont="1" applyBorder="1"/>
    <xf numFmtId="0" fontId="8" fillId="0" borderId="37" xfId="9" applyFont="1" applyBorder="1" applyAlignment="1"/>
    <xf numFmtId="0" fontId="8" fillId="0" borderId="4" xfId="9" applyFont="1" applyBorder="1" applyAlignment="1"/>
    <xf numFmtId="0" fontId="8" fillId="0" borderId="6" xfId="9" applyFont="1" applyBorder="1" applyAlignment="1"/>
    <xf numFmtId="0" fontId="8" fillId="0" borderId="15" xfId="9" applyFont="1" applyBorder="1" applyAlignment="1"/>
    <xf numFmtId="0" fontId="8" fillId="0" borderId="127" xfId="9" applyFont="1" applyBorder="1" applyAlignment="1"/>
    <xf numFmtId="0" fontId="8" fillId="0" borderId="27" xfId="9" applyFont="1" applyBorder="1" applyAlignment="1"/>
    <xf numFmtId="0" fontId="8" fillId="0" borderId="18" xfId="1" applyNumberFormat="1" applyFont="1" applyBorder="1" applyAlignment="1">
      <alignment horizontal="center" vertical="center" wrapText="1"/>
    </xf>
    <xf numFmtId="165" fontId="8" fillId="0" borderId="18" xfId="0" applyNumberFormat="1" applyFont="1" applyBorder="1" applyAlignment="1">
      <alignment wrapText="1"/>
    </xf>
    <xf numFmtId="43" fontId="8" fillId="0" borderId="26" xfId="0" applyNumberFormat="1" applyFont="1" applyBorder="1" applyAlignment="1">
      <alignment horizontal="center" wrapText="1"/>
    </xf>
    <xf numFmtId="0" fontId="17" fillId="0" borderId="73" xfId="0" quotePrefix="1" applyFont="1" applyBorder="1" applyAlignment="1">
      <alignment vertical="top" wrapText="1" readingOrder="1"/>
    </xf>
    <xf numFmtId="41" fontId="8" fillId="6" borderId="19" xfId="2" applyFont="1" applyFill="1" applyBorder="1" applyAlignment="1">
      <alignment horizontal="center" vertical="center" wrapText="1"/>
    </xf>
    <xf numFmtId="0" fontId="8" fillId="3" borderId="39" xfId="0" applyFont="1" applyFill="1" applyBorder="1"/>
    <xf numFmtId="0" fontId="8" fillId="3" borderId="56" xfId="0" applyFont="1" applyFill="1" applyBorder="1"/>
    <xf numFmtId="0" fontId="8" fillId="3" borderId="57" xfId="0" applyFont="1" applyFill="1" applyBorder="1"/>
    <xf numFmtId="0" fontId="8" fillId="3" borderId="69" xfId="0" applyFont="1" applyFill="1" applyBorder="1"/>
    <xf numFmtId="0" fontId="8" fillId="3" borderId="0" xfId="0" applyFont="1" applyFill="1"/>
    <xf numFmtId="0" fontId="8" fillId="3" borderId="35" xfId="0" applyFont="1" applyFill="1" applyBorder="1"/>
    <xf numFmtId="0" fontId="8" fillId="3" borderId="53" xfId="0" applyFont="1" applyFill="1" applyBorder="1"/>
    <xf numFmtId="0" fontId="8" fillId="0" borderId="7" xfId="0" applyFont="1" applyBorder="1"/>
    <xf numFmtId="0" fontId="8" fillId="4" borderId="0" xfId="0" applyFont="1" applyFill="1" applyBorder="1" applyAlignment="1"/>
    <xf numFmtId="41" fontId="32" fillId="0" borderId="0" xfId="0" applyNumberFormat="1" applyFont="1"/>
    <xf numFmtId="0" fontId="8" fillId="5" borderId="57" xfId="0" applyFont="1" applyFill="1" applyBorder="1"/>
    <xf numFmtId="0" fontId="8" fillId="5" borderId="0" xfId="0" applyFont="1" applyFill="1" applyBorder="1"/>
    <xf numFmtId="41" fontId="8" fillId="4" borderId="0" xfId="0" applyNumberFormat="1" applyFont="1" applyFill="1"/>
    <xf numFmtId="0" fontId="8" fillId="4" borderId="0" xfId="0" applyFont="1" applyFill="1" applyBorder="1"/>
    <xf numFmtId="0" fontId="8" fillId="4" borderId="57" xfId="0" applyFont="1" applyFill="1" applyBorder="1" applyAlignment="1">
      <alignment horizontal="left"/>
    </xf>
    <xf numFmtId="0" fontId="8" fillId="4" borderId="0" xfId="0" applyFont="1" applyFill="1" applyBorder="1" applyAlignment="1">
      <alignment horizontal="left"/>
    </xf>
    <xf numFmtId="43" fontId="8" fillId="6" borderId="18" xfId="0" applyNumberFormat="1" applyFont="1" applyFill="1" applyBorder="1" applyAlignment="1">
      <alignment horizontal="center" wrapText="1"/>
    </xf>
    <xf numFmtId="0" fontId="32" fillId="0" borderId="0" xfId="0" quotePrefix="1" applyFont="1"/>
    <xf numFmtId="0" fontId="8" fillId="5" borderId="57" xfId="0" quotePrefix="1" applyFont="1" applyFill="1" applyBorder="1"/>
    <xf numFmtId="43" fontId="8" fillId="0" borderId="18" xfId="0" applyNumberFormat="1" applyFont="1" applyBorder="1" applyAlignment="1">
      <alignment horizontal="center" vertical="top" wrapText="1"/>
    </xf>
    <xf numFmtId="41" fontId="8" fillId="0" borderId="19" xfId="2" applyFont="1" applyBorder="1" applyAlignment="1">
      <alignment horizontal="center" vertical="top" wrapText="1"/>
    </xf>
    <xf numFmtId="0" fontId="8" fillId="4" borderId="57" xfId="0" applyFont="1" applyFill="1" applyBorder="1"/>
    <xf numFmtId="0" fontId="5" fillId="3" borderId="35" xfId="0" applyFont="1" applyFill="1" applyBorder="1"/>
    <xf numFmtId="43" fontId="5" fillId="3" borderId="1" xfId="0" applyNumberFormat="1" applyFont="1" applyFill="1" applyBorder="1"/>
    <xf numFmtId="0" fontId="5" fillId="3" borderId="1" xfId="0" applyFont="1" applyFill="1" applyBorder="1"/>
    <xf numFmtId="0" fontId="8" fillId="0" borderId="195" xfId="0" applyFont="1" applyBorder="1"/>
    <xf numFmtId="0" fontId="5" fillId="3" borderId="0" xfId="0" applyFont="1" applyFill="1" applyBorder="1"/>
    <xf numFmtId="43" fontId="5" fillId="3" borderId="0" xfId="0" applyNumberFormat="1" applyFont="1" applyFill="1" applyBorder="1"/>
    <xf numFmtId="0" fontId="5" fillId="3" borderId="39" xfId="0" applyFont="1" applyFill="1" applyBorder="1" applyAlignment="1">
      <alignment horizontal="center"/>
    </xf>
    <xf numFmtId="0" fontId="5" fillId="3" borderId="5" xfId="0" applyFont="1" applyFill="1" applyBorder="1" applyAlignment="1">
      <alignment horizontal="center"/>
    </xf>
    <xf numFmtId="0" fontId="8" fillId="5" borderId="57" xfId="0" applyFont="1" applyFill="1" applyBorder="1" applyAlignment="1">
      <alignment horizontal="left"/>
    </xf>
    <xf numFmtId="0" fontId="8" fillId="5" borderId="0" xfId="0" applyFont="1" applyFill="1" applyBorder="1" applyAlignment="1">
      <alignment horizontal="left"/>
    </xf>
    <xf numFmtId="0" fontId="5" fillId="5" borderId="57" xfId="0" applyFont="1" applyFill="1" applyBorder="1"/>
    <xf numFmtId="43" fontId="5" fillId="5" borderId="0" xfId="0" applyNumberFormat="1" applyFont="1" applyFill="1" applyBorder="1"/>
    <xf numFmtId="0" fontId="5" fillId="5" borderId="0" xfId="0" applyFont="1" applyFill="1" applyBorder="1"/>
    <xf numFmtId="0" fontId="56" fillId="0" borderId="0" xfId="0" applyFont="1" applyAlignment="1">
      <alignment vertical="top"/>
    </xf>
    <xf numFmtId="0" fontId="8" fillId="7" borderId="0" xfId="0" applyFont="1" applyFill="1"/>
    <xf numFmtId="0" fontId="8" fillId="8" borderId="0" xfId="0" applyFont="1" applyFill="1"/>
    <xf numFmtId="0" fontId="56" fillId="0" borderId="0" xfId="0" applyFont="1" applyFill="1" applyAlignment="1">
      <alignment vertical="top"/>
    </xf>
    <xf numFmtId="43" fontId="57" fillId="0" borderId="0" xfId="1" applyFont="1" applyFill="1" applyAlignment="1">
      <alignment vertical="top"/>
    </xf>
    <xf numFmtId="43" fontId="57" fillId="0" borderId="0" xfId="1" applyFont="1" applyAlignment="1">
      <alignment vertical="top"/>
    </xf>
    <xf numFmtId="43" fontId="57" fillId="0" borderId="0" xfId="0" applyNumberFormat="1" applyFont="1" applyAlignment="1">
      <alignment vertical="top"/>
    </xf>
    <xf numFmtId="0" fontId="57" fillId="0" borderId="0" xfId="0" applyFont="1" applyAlignment="1">
      <alignment vertical="top"/>
    </xf>
    <xf numFmtId="41" fontId="57" fillId="0" borderId="0" xfId="2" applyFont="1" applyAlignment="1">
      <alignment vertical="top"/>
    </xf>
    <xf numFmtId="0" fontId="28" fillId="0" borderId="19" xfId="0" quotePrefix="1" applyFont="1" applyBorder="1" applyAlignment="1">
      <alignment horizontal="center" wrapText="1"/>
    </xf>
    <xf numFmtId="0" fontId="8" fillId="0" borderId="212" xfId="0" quotePrefix="1" applyFont="1" applyBorder="1" applyAlignment="1">
      <alignment horizontal="center" wrapText="1"/>
    </xf>
    <xf numFmtId="43" fontId="58" fillId="0" borderId="19" xfId="0" applyNumberFormat="1" applyFont="1" applyBorder="1" applyAlignment="1">
      <alignment horizontal="center" wrapText="1"/>
    </xf>
    <xf numFmtId="43" fontId="58" fillId="0" borderId="17" xfId="0" applyNumberFormat="1" applyFont="1" applyBorder="1" applyAlignment="1">
      <alignment horizontal="center" wrapText="1"/>
    </xf>
    <xf numFmtId="43" fontId="36" fillId="0" borderId="19" xfId="0" applyNumberFormat="1" applyFont="1" applyBorder="1" applyAlignment="1">
      <alignment horizontal="center" wrapText="1"/>
    </xf>
    <xf numFmtId="43" fontId="36" fillId="0" borderId="17" xfId="0" applyNumberFormat="1" applyFont="1" applyBorder="1" applyAlignment="1">
      <alignment horizontal="center" wrapText="1"/>
    </xf>
    <xf numFmtId="0" fontId="8" fillId="0" borderId="52" xfId="0" applyFont="1" applyBorder="1" applyAlignment="1">
      <alignment horizontal="left"/>
    </xf>
    <xf numFmtId="0" fontId="8" fillId="0" borderId="107" xfId="9" applyFont="1" applyBorder="1" applyAlignment="1">
      <alignment horizontal="left"/>
    </xf>
    <xf numFmtId="0" fontId="8" fillId="0" borderId="120" xfId="0" applyFont="1" applyBorder="1" applyAlignment="1">
      <alignment horizontal="left" wrapText="1"/>
    </xf>
    <xf numFmtId="0" fontId="8" fillId="0" borderId="91" xfId="0" applyFont="1" applyBorder="1" applyAlignment="1">
      <alignment wrapText="1"/>
    </xf>
    <xf numFmtId="0" fontId="8" fillId="0" borderId="5" xfId="0" applyFont="1" applyBorder="1" applyAlignment="1">
      <alignment wrapText="1"/>
    </xf>
    <xf numFmtId="0" fontId="8" fillId="0" borderId="125" xfId="0" applyFont="1" applyBorder="1" applyAlignment="1">
      <alignment wrapText="1"/>
    </xf>
    <xf numFmtId="0" fontId="3" fillId="0" borderId="0" xfId="0" applyFont="1" applyBorder="1" applyAlignment="1">
      <alignment horizontal="right" wrapText="1"/>
    </xf>
    <xf numFmtId="0" fontId="8" fillId="0" borderId="212" xfId="0" applyFont="1" applyBorder="1" applyAlignment="1">
      <alignment horizontal="center" wrapText="1"/>
    </xf>
    <xf numFmtId="0" fontId="8" fillId="0" borderId="0" xfId="0" applyNumberFormat="1" applyFont="1"/>
    <xf numFmtId="41" fontId="8" fillId="0" borderId="0" xfId="2" applyFont="1" applyBorder="1" applyAlignment="1">
      <alignment horizontal="center" wrapText="1"/>
    </xf>
    <xf numFmtId="43" fontId="8" fillId="0" borderId="0" xfId="0" applyNumberFormat="1" applyFont="1" applyBorder="1" applyAlignment="1">
      <alignment horizontal="center" wrapText="1"/>
    </xf>
    <xf numFmtId="165" fontId="8" fillId="0" borderId="0" xfId="0" applyNumberFormat="1" applyFont="1" applyBorder="1" applyAlignment="1">
      <alignment horizontal="center" wrapText="1"/>
    </xf>
    <xf numFmtId="165" fontId="8" fillId="0" borderId="99" xfId="0" applyNumberFormat="1" applyFont="1" applyBorder="1" applyAlignment="1">
      <alignment horizontal="center" wrapText="1"/>
    </xf>
    <xf numFmtId="165" fontId="8" fillId="0" borderId="25" xfId="1" applyNumberFormat="1" applyFont="1" applyBorder="1" applyAlignment="1">
      <alignment horizontal="center" wrapText="1"/>
    </xf>
    <xf numFmtId="41" fontId="3" fillId="0" borderId="87" xfId="0" applyNumberFormat="1" applyFont="1" applyBorder="1" applyAlignment="1">
      <alignment horizontal="center" wrapText="1"/>
    </xf>
    <xf numFmtId="41" fontId="30" fillId="0" borderId="18" xfId="2" applyFont="1" applyBorder="1" applyAlignment="1">
      <alignment horizontal="center" wrapText="1"/>
    </xf>
    <xf numFmtId="43" fontId="43" fillId="0" borderId="18" xfId="0" applyNumberFormat="1" applyFont="1" applyBorder="1" applyAlignment="1">
      <alignment horizontal="center" wrapText="1"/>
    </xf>
    <xf numFmtId="165" fontId="30" fillId="0" borderId="19" xfId="0" applyNumberFormat="1" applyFont="1" applyBorder="1" applyAlignment="1">
      <alignment horizontal="center" wrapText="1"/>
    </xf>
    <xf numFmtId="0" fontId="30" fillId="0" borderId="18" xfId="2" applyNumberFormat="1" applyFont="1" applyBorder="1" applyAlignment="1">
      <alignment horizontal="center" wrapText="1"/>
    </xf>
    <xf numFmtId="43" fontId="30" fillId="0" borderId="18" xfId="0" applyNumberFormat="1" applyFont="1" applyBorder="1" applyAlignment="1">
      <alignment horizontal="center" wrapText="1"/>
    </xf>
    <xf numFmtId="0" fontId="8" fillId="0" borderId="18" xfId="2" applyNumberFormat="1" applyFont="1" applyBorder="1" applyAlignment="1">
      <alignment horizontal="center" wrapText="1"/>
    </xf>
    <xf numFmtId="41" fontId="8" fillId="0" borderId="19" xfId="2" applyFont="1" applyBorder="1" applyAlignment="1">
      <alignment horizontal="center" vertical="center" wrapText="1"/>
    </xf>
    <xf numFmtId="0" fontId="8" fillId="0" borderId="18" xfId="0" applyNumberFormat="1" applyFont="1" applyBorder="1" applyAlignment="1">
      <alignment horizontal="center" wrapText="1"/>
    </xf>
    <xf numFmtId="41" fontId="8" fillId="0" borderId="97" xfId="0" applyNumberFormat="1" applyFont="1" applyBorder="1" applyAlignment="1">
      <alignment horizontal="center" wrapText="1"/>
    </xf>
    <xf numFmtId="41" fontId="8" fillId="0" borderId="97" xfId="0" applyNumberFormat="1" applyFont="1" applyBorder="1" applyAlignment="1">
      <alignment horizontal="center" vertical="center" wrapText="1"/>
    </xf>
    <xf numFmtId="41" fontId="8" fillId="0" borderId="99" xfId="0" applyNumberFormat="1" applyFont="1" applyBorder="1" applyAlignment="1">
      <alignment horizontal="center" wrapText="1"/>
    </xf>
    <xf numFmtId="41" fontId="5" fillId="0" borderId="125" xfId="0" applyNumberFormat="1" applyFont="1" applyBorder="1" applyAlignment="1">
      <alignment horizontal="center" wrapText="1"/>
    </xf>
    <xf numFmtId="0" fontId="8" fillId="8" borderId="0" xfId="0" applyFont="1" applyFill="1" applyAlignment="1">
      <alignment horizontal="center"/>
    </xf>
    <xf numFmtId="41" fontId="56" fillId="0" borderId="0" xfId="2" applyFont="1" applyAlignment="1">
      <alignment vertical="top"/>
    </xf>
    <xf numFmtId="41" fontId="56" fillId="0" borderId="1" xfId="2" applyFont="1" applyBorder="1" applyAlignment="1">
      <alignment vertical="top"/>
    </xf>
    <xf numFmtId="41" fontId="56" fillId="0" borderId="0" xfId="0" applyNumberFormat="1" applyFont="1" applyAlignment="1">
      <alignment vertical="top"/>
    </xf>
    <xf numFmtId="0" fontId="59" fillId="0" borderId="0" xfId="0" applyFont="1" applyAlignment="1">
      <alignment vertical="top"/>
    </xf>
    <xf numFmtId="0" fontId="4" fillId="0" borderId="76" xfId="0" applyFont="1" applyBorder="1" applyAlignment="1">
      <alignment horizontal="center" wrapText="1"/>
    </xf>
    <xf numFmtId="41" fontId="56" fillId="0" borderId="0" xfId="2" applyFont="1" applyBorder="1" applyAlignment="1">
      <alignment vertical="top"/>
    </xf>
    <xf numFmtId="0" fontId="37" fillId="0" borderId="76" xfId="8" applyFont="1" applyBorder="1" applyAlignment="1">
      <alignment vertical="center"/>
    </xf>
    <xf numFmtId="0" fontId="37" fillId="0" borderId="0" xfId="8" applyFont="1" applyBorder="1" applyAlignment="1">
      <alignment vertical="center"/>
    </xf>
    <xf numFmtId="165" fontId="35" fillId="0" borderId="81" xfId="8" applyNumberFormat="1" applyFont="1" applyBorder="1" applyAlignment="1">
      <alignment horizontal="center" vertical="center"/>
    </xf>
    <xf numFmtId="0" fontId="3" fillId="0" borderId="76" xfId="0" applyFont="1" applyBorder="1" applyAlignment="1">
      <alignment vertical="center"/>
    </xf>
    <xf numFmtId="0" fontId="3" fillId="0" borderId="0" xfId="0" applyFont="1" applyBorder="1" applyAlignment="1">
      <alignment vertical="center"/>
    </xf>
    <xf numFmtId="165" fontId="19" fillId="0" borderId="81" xfId="0" applyNumberFormat="1" applyFont="1" applyBorder="1" applyAlignment="1">
      <alignment horizontal="center" vertical="center"/>
    </xf>
    <xf numFmtId="165" fontId="36" fillId="0" borderId="0" xfId="1" applyNumberFormat="1" applyFont="1"/>
    <xf numFmtId="0" fontId="60" fillId="0" borderId="0" xfId="0" applyFont="1"/>
    <xf numFmtId="0" fontId="32" fillId="0" borderId="0" xfId="0" applyFont="1" applyBorder="1"/>
    <xf numFmtId="0" fontId="60" fillId="0" borderId="0" xfId="0" quotePrefix="1" applyFont="1"/>
    <xf numFmtId="0" fontId="61" fillId="0" borderId="0" xfId="0" applyFont="1" applyBorder="1" applyAlignment="1"/>
    <xf numFmtId="0" fontId="36" fillId="0" borderId="0" xfId="8" applyNumberFormat="1" applyFont="1"/>
    <xf numFmtId="165" fontId="36" fillId="0" borderId="0" xfId="8" applyNumberFormat="1" applyFont="1"/>
    <xf numFmtId="43" fontId="36" fillId="6" borderId="19" xfId="8" applyNumberFormat="1" applyFont="1" applyFill="1" applyBorder="1" applyAlignment="1">
      <alignment horizontal="center" wrapText="1"/>
    </xf>
    <xf numFmtId="43" fontId="36" fillId="6" borderId="17" xfId="8" applyNumberFormat="1" applyFont="1" applyFill="1" applyBorder="1" applyAlignment="1">
      <alignment horizontal="center" wrapText="1"/>
    </xf>
    <xf numFmtId="0" fontId="5" fillId="0" borderId="74" xfId="0" applyFont="1" applyBorder="1"/>
    <xf numFmtId="43" fontId="58" fillId="6" borderId="19" xfId="8" applyNumberFormat="1" applyFont="1" applyFill="1" applyBorder="1" applyAlignment="1">
      <alignment horizontal="center" wrapText="1"/>
    </xf>
    <xf numFmtId="43" fontId="58" fillId="6" borderId="17" xfId="8" applyNumberFormat="1" applyFont="1" applyFill="1" applyBorder="1" applyAlignment="1">
      <alignment horizontal="center" wrapText="1"/>
    </xf>
    <xf numFmtId="0" fontId="36" fillId="4" borderId="0" xfId="8" applyFont="1" applyFill="1"/>
    <xf numFmtId="43" fontId="36" fillId="6" borderId="18" xfId="8" applyNumberFormat="1" applyFont="1" applyFill="1" applyBorder="1" applyAlignment="1">
      <alignment horizontal="center" wrapText="1"/>
    </xf>
    <xf numFmtId="165" fontId="36" fillId="6" borderId="87" xfId="8" applyNumberFormat="1" applyFont="1" applyFill="1" applyBorder="1" applyAlignment="1">
      <alignment horizontal="center" wrapText="1"/>
    </xf>
    <xf numFmtId="165" fontId="36" fillId="6" borderId="19" xfId="8" applyNumberFormat="1" applyFont="1" applyFill="1" applyBorder="1" applyAlignment="1">
      <alignment horizontal="center" wrapText="1"/>
    </xf>
    <xf numFmtId="0" fontId="5" fillId="6" borderId="74" xfId="0" applyFont="1" applyFill="1" applyBorder="1"/>
    <xf numFmtId="165" fontId="5" fillId="6" borderId="87" xfId="0" applyNumberFormat="1" applyFont="1" applyFill="1" applyBorder="1" applyAlignment="1">
      <alignment horizontal="center" wrapText="1"/>
    </xf>
    <xf numFmtId="165" fontId="8" fillId="6" borderId="19" xfId="11" applyNumberFormat="1" applyFont="1" applyFill="1" applyBorder="1" applyAlignment="1">
      <alignment horizontal="center" wrapText="1"/>
    </xf>
    <xf numFmtId="165" fontId="8" fillId="6" borderId="87" xfId="11" applyNumberFormat="1" applyFont="1" applyFill="1" applyBorder="1" applyAlignment="1">
      <alignment horizontal="center" wrapText="1"/>
    </xf>
    <xf numFmtId="165" fontId="8" fillId="0" borderId="18" xfId="11" applyNumberFormat="1" applyFont="1" applyFill="1" applyBorder="1" applyAlignment="1">
      <alignment wrapText="1"/>
    </xf>
    <xf numFmtId="43" fontId="30" fillId="0" borderId="19" xfId="0" applyNumberFormat="1" applyFont="1" applyFill="1" applyBorder="1" applyAlignment="1">
      <alignment horizontal="center" wrapText="1"/>
    </xf>
    <xf numFmtId="43" fontId="30" fillId="0" borderId="17" xfId="0" applyNumberFormat="1" applyFont="1" applyFill="1" applyBorder="1" applyAlignment="1">
      <alignment horizontal="center" wrapText="1"/>
    </xf>
    <xf numFmtId="0" fontId="8" fillId="0" borderId="0" xfId="0" applyFont="1" applyFill="1"/>
    <xf numFmtId="165" fontId="8" fillId="0" borderId="0" xfId="0" applyNumberFormat="1" applyFont="1" applyFill="1"/>
    <xf numFmtId="41" fontId="8" fillId="0" borderId="0" xfId="3" applyFont="1" applyFill="1"/>
    <xf numFmtId="41" fontId="8" fillId="0" borderId="0" xfId="0" applyNumberFormat="1" applyFont="1" applyFill="1"/>
    <xf numFmtId="41" fontId="8" fillId="0" borderId="19" xfId="3" applyFont="1" applyFill="1" applyBorder="1" applyAlignment="1">
      <alignment horizontal="center" wrapText="1"/>
    </xf>
    <xf numFmtId="0" fontId="55" fillId="0" borderId="0" xfId="0" applyFont="1" applyFill="1" applyAlignment="1"/>
    <xf numFmtId="0" fontId="62" fillId="0" borderId="0" xfId="0" applyFont="1" applyFill="1" applyAlignment="1"/>
    <xf numFmtId="0" fontId="62" fillId="0" borderId="0" xfId="0" applyFont="1" applyFill="1"/>
    <xf numFmtId="165" fontId="8" fillId="6" borderId="19" xfId="0" applyNumberFormat="1" applyFont="1" applyFill="1" applyBorder="1" applyAlignment="1">
      <alignment horizontal="center" wrapText="1"/>
    </xf>
    <xf numFmtId="165" fontId="8" fillId="6" borderId="87" xfId="0" applyNumberFormat="1" applyFont="1" applyFill="1" applyBorder="1" applyAlignment="1">
      <alignment horizontal="center" wrapText="1"/>
    </xf>
    <xf numFmtId="165" fontId="8" fillId="0" borderId="96" xfId="0" applyNumberFormat="1" applyFont="1" applyFill="1" applyBorder="1" applyAlignment="1">
      <alignment horizontal="center" wrapText="1"/>
    </xf>
    <xf numFmtId="165" fontId="5" fillId="0" borderId="81" xfId="0" applyNumberFormat="1" applyFont="1" applyBorder="1" applyAlignment="1">
      <alignment horizontal="center" vertical="center"/>
    </xf>
    <xf numFmtId="41" fontId="8" fillId="0" borderId="0" xfId="3" applyFont="1"/>
    <xf numFmtId="165" fontId="8" fillId="9" borderId="0" xfId="0" applyNumberFormat="1" applyFont="1" applyFill="1"/>
    <xf numFmtId="0" fontId="61" fillId="0" borderId="76" xfId="0" applyFont="1" applyBorder="1" applyAlignment="1"/>
    <xf numFmtId="0" fontId="8" fillId="0" borderId="76" xfId="10" applyFont="1" applyBorder="1" applyAlignment="1"/>
    <xf numFmtId="0" fontId="8" fillId="0" borderId="0" xfId="10" applyFont="1" applyBorder="1" applyAlignment="1"/>
    <xf numFmtId="0" fontId="8" fillId="0" borderId="0" xfId="0" applyFont="1" applyBorder="1" applyAlignment="1">
      <alignment horizontal="left"/>
    </xf>
    <xf numFmtId="0" fontId="8" fillId="0" borderId="76" xfId="10" quotePrefix="1" applyFont="1" applyBorder="1" applyAlignment="1"/>
    <xf numFmtId="0" fontId="8" fillId="0" borderId="0" xfId="10" quotePrefix="1" applyFont="1" applyBorder="1" applyAlignment="1"/>
    <xf numFmtId="0" fontId="8" fillId="0" borderId="0" xfId="10" applyFont="1" applyBorder="1" applyAlignment="1">
      <alignment horizontal="left"/>
    </xf>
    <xf numFmtId="0" fontId="36" fillId="0" borderId="0" xfId="8" applyFont="1"/>
    <xf numFmtId="0" fontId="36" fillId="0" borderId="81" xfId="8" applyFont="1" applyBorder="1"/>
    <xf numFmtId="0" fontId="36" fillId="0" borderId="82" xfId="8" applyFont="1" applyBorder="1" applyAlignment="1">
      <alignment wrapText="1"/>
    </xf>
    <xf numFmtId="165" fontId="36" fillId="0" borderId="0" xfId="11" applyNumberFormat="1" applyFont="1"/>
    <xf numFmtId="0" fontId="35" fillId="0" borderId="69" xfId="8" applyFont="1" applyBorder="1"/>
    <xf numFmtId="43" fontId="36" fillId="0" borderId="19" xfId="8" applyNumberFormat="1" applyFont="1" applyBorder="1" applyAlignment="1">
      <alignment horizontal="center" wrapText="1"/>
    </xf>
    <xf numFmtId="43" fontId="36" fillId="0" borderId="17" xfId="8" applyNumberFormat="1" applyFont="1" applyBorder="1" applyAlignment="1">
      <alignment horizontal="center" wrapText="1"/>
    </xf>
    <xf numFmtId="43" fontId="58" fillId="0" borderId="19" xfId="8" applyNumberFormat="1" applyFont="1" applyBorder="1" applyAlignment="1">
      <alignment horizontal="center" wrapText="1"/>
    </xf>
    <xf numFmtId="43" fontId="58" fillId="0" borderId="17" xfId="8" applyNumberFormat="1" applyFont="1" applyBorder="1" applyAlignment="1">
      <alignment horizontal="center" wrapText="1"/>
    </xf>
    <xf numFmtId="165" fontId="36" fillId="0" borderId="18" xfId="8" applyNumberFormat="1" applyFont="1" applyFill="1" applyBorder="1" applyAlignment="1">
      <alignment wrapText="1"/>
    </xf>
    <xf numFmtId="43" fontId="36" fillId="0" borderId="18" xfId="8" applyNumberFormat="1" applyFont="1" applyFill="1" applyBorder="1" applyAlignment="1">
      <alignment horizontal="center" wrapText="1"/>
    </xf>
    <xf numFmtId="43" fontId="36" fillId="0" borderId="19" xfId="8" applyNumberFormat="1" applyFont="1" applyFill="1" applyBorder="1" applyAlignment="1">
      <alignment horizontal="center" wrapText="1"/>
    </xf>
    <xf numFmtId="165" fontId="36" fillId="0" borderId="87" xfId="8" applyNumberFormat="1" applyFont="1" applyFill="1" applyBorder="1" applyAlignment="1">
      <alignment horizontal="center" wrapText="1"/>
    </xf>
    <xf numFmtId="165" fontId="36" fillId="0" borderId="19" xfId="8" applyNumberFormat="1" applyFont="1" applyFill="1" applyBorder="1" applyAlignment="1">
      <alignment horizontal="center" wrapText="1"/>
    </xf>
    <xf numFmtId="165" fontId="36" fillId="0" borderId="17" xfId="8" applyNumberFormat="1" applyFont="1" applyFill="1" applyBorder="1" applyAlignment="1">
      <alignment horizontal="center" wrapText="1"/>
    </xf>
    <xf numFmtId="43" fontId="36" fillId="0" borderId="17" xfId="8" applyNumberFormat="1" applyFont="1" applyFill="1" applyBorder="1" applyAlignment="1">
      <alignment horizontal="center" wrapText="1"/>
    </xf>
    <xf numFmtId="41" fontId="36" fillId="0" borderId="0" xfId="3" applyFont="1"/>
    <xf numFmtId="41" fontId="36" fillId="0" borderId="0" xfId="8" applyNumberFormat="1" applyFont="1"/>
    <xf numFmtId="43" fontId="58" fillId="0" borderId="19" xfId="8" applyNumberFormat="1" applyFont="1" applyFill="1" applyBorder="1" applyAlignment="1">
      <alignment horizontal="center" wrapText="1"/>
    </xf>
    <xf numFmtId="43" fontId="58" fillId="0" borderId="17" xfId="8" applyNumberFormat="1" applyFont="1" applyFill="1" applyBorder="1" applyAlignment="1">
      <alignment horizontal="center" wrapText="1"/>
    </xf>
    <xf numFmtId="0" fontId="32" fillId="0" borderId="0" xfId="8" applyFont="1"/>
    <xf numFmtId="165" fontId="36" fillId="0" borderId="87" xfId="8" applyNumberFormat="1" applyFont="1" applyBorder="1" applyAlignment="1">
      <alignment horizontal="center" wrapText="1"/>
    </xf>
    <xf numFmtId="43" fontId="36" fillId="0" borderId="0" xfId="8" applyNumberFormat="1" applyFont="1"/>
    <xf numFmtId="43" fontId="36" fillId="0" borderId="18" xfId="8" applyNumberFormat="1" applyFont="1" applyBorder="1" applyAlignment="1">
      <alignment horizontal="center" wrapText="1"/>
    </xf>
    <xf numFmtId="165" fontId="36" fillId="0" borderId="19" xfId="8" applyNumberFormat="1" applyFont="1" applyBorder="1" applyAlignment="1">
      <alignment horizontal="center" wrapText="1"/>
    </xf>
    <xf numFmtId="43" fontId="36" fillId="0" borderId="75" xfId="8" applyNumberFormat="1" applyFont="1" applyBorder="1" applyAlignment="1">
      <alignment horizontal="center" wrapText="1"/>
    </xf>
    <xf numFmtId="165" fontId="36" fillId="0" borderId="73" xfId="8" applyNumberFormat="1" applyFont="1" applyBorder="1" applyAlignment="1">
      <alignment horizontal="center" wrapText="1"/>
    </xf>
    <xf numFmtId="165" fontId="36" fillId="0" borderId="99" xfId="8" applyNumberFormat="1" applyFont="1" applyBorder="1" applyAlignment="1">
      <alignment horizontal="center" wrapText="1"/>
    </xf>
    <xf numFmtId="0" fontId="63" fillId="0" borderId="0" xfId="8" applyFont="1" applyFill="1" applyAlignment="1"/>
    <xf numFmtId="0" fontId="63" fillId="0" borderId="0" xfId="8" applyFont="1" applyFill="1"/>
    <xf numFmtId="43" fontId="58" fillId="0" borderId="18" xfId="8" applyNumberFormat="1" applyFont="1" applyFill="1" applyBorder="1" applyAlignment="1">
      <alignment horizontal="center" wrapText="1"/>
    </xf>
    <xf numFmtId="41" fontId="36" fillId="0" borderId="19" xfId="3" applyFont="1" applyFill="1" applyBorder="1" applyAlignment="1">
      <alignment horizontal="center" wrapText="1"/>
    </xf>
    <xf numFmtId="165" fontId="36" fillId="0" borderId="96" xfId="8" applyNumberFormat="1" applyFont="1" applyFill="1" applyBorder="1" applyAlignment="1">
      <alignment horizontal="center" wrapText="1"/>
    </xf>
    <xf numFmtId="0" fontId="36" fillId="0" borderId="76" xfId="8" applyFont="1" applyBorder="1" applyAlignment="1"/>
    <xf numFmtId="0" fontId="36" fillId="0" borderId="0" xfId="8" applyFont="1" applyBorder="1" applyAlignment="1"/>
    <xf numFmtId="0" fontId="35" fillId="0" borderId="0" xfId="8" applyFont="1" applyBorder="1" applyAlignment="1"/>
    <xf numFmtId="0" fontId="36" fillId="0" borderId="0" xfId="8" applyFont="1" applyBorder="1" applyAlignment="1">
      <alignment horizontal="center"/>
    </xf>
    <xf numFmtId="0" fontId="64" fillId="0" borderId="0" xfId="8" applyFont="1" applyBorder="1" applyAlignment="1"/>
    <xf numFmtId="0" fontId="37" fillId="0" borderId="0" xfId="8" applyFont="1" applyBorder="1" applyAlignment="1"/>
    <xf numFmtId="0" fontId="36" fillId="0" borderId="79" xfId="8" applyFont="1" applyBorder="1" applyAlignment="1"/>
    <xf numFmtId="0" fontId="36" fillId="0" borderId="1" xfId="8" applyFont="1" applyBorder="1" applyAlignment="1"/>
    <xf numFmtId="0" fontId="36" fillId="0" borderId="76" xfId="10" applyFont="1" applyBorder="1" applyAlignment="1"/>
    <xf numFmtId="0" fontId="36" fillId="0" borderId="0" xfId="10" applyFont="1" applyBorder="1" applyAlignment="1"/>
    <xf numFmtId="0" fontId="36" fillId="0" borderId="0" xfId="8" applyFont="1" applyBorder="1" applyAlignment="1">
      <alignment horizontal="left"/>
    </xf>
    <xf numFmtId="0" fontId="36" fillId="0" borderId="76" xfId="10" quotePrefix="1" applyFont="1" applyBorder="1" applyAlignment="1"/>
    <xf numFmtId="0" fontId="36" fillId="0" borderId="0" xfId="10" quotePrefix="1" applyFont="1" applyBorder="1" applyAlignment="1"/>
    <xf numFmtId="0" fontId="36" fillId="0" borderId="0" xfId="10" applyFont="1" applyBorder="1" applyAlignment="1">
      <alignment horizontal="left"/>
    </xf>
    <xf numFmtId="0" fontId="36" fillId="0" borderId="0" xfId="8" applyFont="1" applyBorder="1"/>
    <xf numFmtId="41" fontId="36" fillId="0" borderId="0" xfId="2" applyFont="1"/>
    <xf numFmtId="0" fontId="35" fillId="0" borderId="132" xfId="8" applyFont="1" applyBorder="1"/>
    <xf numFmtId="165" fontId="36" fillId="6" borderId="17" xfId="8" applyNumberFormat="1" applyFont="1" applyFill="1" applyBorder="1" applyAlignment="1">
      <alignment horizontal="center" wrapText="1"/>
    </xf>
    <xf numFmtId="165" fontId="65" fillId="0" borderId="87" xfId="8" applyNumberFormat="1" applyFont="1" applyFill="1" applyBorder="1" applyAlignment="1">
      <alignment horizontal="center" wrapText="1"/>
    </xf>
    <xf numFmtId="165" fontId="8" fillId="6" borderId="87" xfId="8" applyNumberFormat="1" applyFont="1" applyFill="1" applyBorder="1" applyAlignment="1">
      <alignment horizontal="center" vertical="center" wrapText="1"/>
    </xf>
    <xf numFmtId="0" fontId="8" fillId="0" borderId="19" xfId="0" applyFont="1" applyFill="1" applyBorder="1" applyAlignment="1">
      <alignment wrapText="1"/>
    </xf>
    <xf numFmtId="0" fontId="8" fillId="0" borderId="17" xfId="0" quotePrefix="1" applyFont="1" applyFill="1" applyBorder="1" applyAlignment="1">
      <alignment horizontal="center" vertical="center" wrapText="1"/>
    </xf>
    <xf numFmtId="0" fontId="46" fillId="0" borderId="19" xfId="0" quotePrefix="1" applyFont="1" applyFill="1" applyBorder="1" applyAlignment="1">
      <alignment horizontal="center" vertical="center" wrapText="1"/>
    </xf>
    <xf numFmtId="41" fontId="8" fillId="0" borderId="19" xfId="1" applyNumberFormat="1" applyFont="1" applyFill="1" applyBorder="1" applyAlignment="1">
      <alignment vertical="center"/>
    </xf>
    <xf numFmtId="0" fontId="17" fillId="0" borderId="19" xfId="0" applyFont="1" applyBorder="1" applyAlignment="1">
      <alignment wrapText="1"/>
    </xf>
    <xf numFmtId="0" fontId="8" fillId="0" borderId="78" xfId="0" applyFont="1" applyBorder="1" applyAlignment="1">
      <alignment wrapText="1"/>
    </xf>
    <xf numFmtId="0" fontId="8" fillId="0" borderId="102" xfId="0" applyFont="1" applyBorder="1" applyAlignment="1">
      <alignment wrapText="1"/>
    </xf>
    <xf numFmtId="0" fontId="8" fillId="0" borderId="126" xfId="0" applyFont="1" applyBorder="1" applyAlignment="1">
      <alignment wrapText="1"/>
    </xf>
    <xf numFmtId="165" fontId="5" fillId="0" borderId="190" xfId="0" applyNumberFormat="1" applyFont="1" applyBorder="1" applyAlignment="1">
      <alignment horizontal="center" wrapText="1"/>
    </xf>
    <xf numFmtId="0" fontId="5" fillId="0" borderId="139" xfId="0" applyFont="1" applyBorder="1"/>
    <xf numFmtId="165" fontId="5" fillId="0" borderId="192" xfId="0" applyNumberFormat="1" applyFont="1" applyBorder="1" applyAlignment="1">
      <alignment horizontal="center" wrapText="1"/>
    </xf>
    <xf numFmtId="165" fontId="8" fillId="0" borderId="139" xfId="11" applyNumberFormat="1" applyFont="1" applyBorder="1" applyAlignment="1">
      <alignment wrapText="1"/>
    </xf>
    <xf numFmtId="43" fontId="8" fillId="0" borderId="139" xfId="0" applyNumberFormat="1" applyFont="1" applyBorder="1" applyAlignment="1">
      <alignment horizontal="center" wrapText="1"/>
    </xf>
    <xf numFmtId="43" fontId="30" fillId="0" borderId="139" xfId="0" applyNumberFormat="1" applyFont="1" applyBorder="1" applyAlignment="1">
      <alignment horizontal="center" wrapText="1"/>
    </xf>
    <xf numFmtId="43" fontId="8" fillId="0" borderId="139" xfId="0" applyNumberFormat="1" applyFont="1" applyFill="1" applyBorder="1" applyAlignment="1">
      <alignment horizontal="center" wrapText="1"/>
    </xf>
    <xf numFmtId="165" fontId="8" fillId="0" borderId="139" xfId="11" applyNumberFormat="1" applyFont="1" applyFill="1" applyBorder="1" applyAlignment="1">
      <alignment horizontal="center" wrapText="1"/>
    </xf>
    <xf numFmtId="165" fontId="8" fillId="0" borderId="192" xfId="11" applyNumberFormat="1" applyFont="1" applyFill="1" applyBorder="1" applyAlignment="1">
      <alignment horizontal="center" wrapText="1"/>
    </xf>
    <xf numFmtId="165" fontId="8" fillId="0" borderId="139" xfId="11" applyNumberFormat="1" applyFont="1" applyBorder="1" applyAlignment="1">
      <alignment horizontal="center" wrapText="1"/>
    </xf>
    <xf numFmtId="165" fontId="8" fillId="0" borderId="192" xfId="0" applyNumberFormat="1" applyFont="1" applyFill="1" applyBorder="1" applyAlignment="1">
      <alignment horizontal="center" wrapText="1"/>
    </xf>
    <xf numFmtId="165" fontId="8" fillId="0" borderId="139" xfId="0" applyNumberFormat="1" applyFont="1" applyFill="1" applyBorder="1" applyAlignment="1">
      <alignment horizontal="center" wrapText="1"/>
    </xf>
    <xf numFmtId="165" fontId="5" fillId="0" borderId="192" xfId="0" applyNumberFormat="1" applyFont="1" applyFill="1" applyBorder="1" applyAlignment="1">
      <alignment horizontal="center" wrapText="1"/>
    </xf>
    <xf numFmtId="43" fontId="30" fillId="0" borderId="139" xfId="0" applyNumberFormat="1" applyFont="1" applyFill="1" applyBorder="1" applyAlignment="1">
      <alignment horizontal="center" wrapText="1"/>
    </xf>
    <xf numFmtId="165" fontId="8" fillId="0" borderId="192" xfId="0" applyNumberFormat="1" applyFont="1" applyBorder="1" applyAlignment="1">
      <alignment horizontal="center" wrapText="1"/>
    </xf>
    <xf numFmtId="165" fontId="8" fillId="6" borderId="74" xfId="0" applyNumberFormat="1" applyFont="1" applyFill="1" applyBorder="1" applyAlignment="1">
      <alignment horizontal="center" wrapText="1"/>
    </xf>
    <xf numFmtId="165" fontId="8" fillId="6" borderId="192" xfId="0" applyNumberFormat="1" applyFont="1" applyFill="1" applyBorder="1" applyAlignment="1">
      <alignment horizontal="center" wrapText="1"/>
    </xf>
    <xf numFmtId="43" fontId="8" fillId="0" borderId="74" xfId="0" applyNumberFormat="1" applyFont="1" applyBorder="1" applyAlignment="1">
      <alignment horizontal="center" wrapText="1"/>
    </xf>
    <xf numFmtId="165" fontId="8" fillId="0" borderId="69" xfId="0" applyNumberFormat="1" applyFont="1" applyBorder="1" applyAlignment="1">
      <alignment horizontal="center" wrapText="1"/>
    </xf>
    <xf numFmtId="165" fontId="8" fillId="0" borderId="81" xfId="0" applyNumberFormat="1" applyFont="1" applyBorder="1" applyAlignment="1">
      <alignment horizontal="center" wrapText="1"/>
    </xf>
    <xf numFmtId="165" fontId="8" fillId="0" borderId="139" xfId="0" applyNumberFormat="1" applyFont="1" applyFill="1" applyBorder="1" applyAlignment="1">
      <alignment horizontal="center" vertical="center" wrapText="1"/>
    </xf>
    <xf numFmtId="0" fontId="36" fillId="0" borderId="18" xfId="8" applyNumberFormat="1" applyFont="1" applyFill="1" applyBorder="1" applyAlignment="1">
      <alignment horizontal="center" vertical="center" wrapText="1"/>
    </xf>
    <xf numFmtId="0" fontId="8" fillId="0" borderId="139" xfId="11" applyNumberFormat="1" applyFont="1" applyBorder="1" applyAlignment="1">
      <alignment horizontal="center" vertical="center" wrapText="1"/>
    </xf>
    <xf numFmtId="0" fontId="8" fillId="0" borderId="139" xfId="0" applyNumberFormat="1" applyFont="1" applyFill="1" applyBorder="1" applyAlignment="1">
      <alignment horizontal="center" vertical="center" wrapText="1"/>
    </xf>
    <xf numFmtId="0" fontId="8" fillId="0" borderId="139" xfId="11" applyNumberFormat="1" applyFont="1" applyFill="1" applyBorder="1" applyAlignment="1">
      <alignment horizontal="center" vertical="center" wrapText="1"/>
    </xf>
    <xf numFmtId="0" fontId="8" fillId="0" borderId="139" xfId="3" applyNumberFormat="1" applyFont="1" applyBorder="1" applyAlignment="1">
      <alignment horizontal="center" vertical="center" wrapText="1"/>
    </xf>
    <xf numFmtId="0" fontId="8" fillId="0" borderId="18" xfId="11" applyNumberFormat="1" applyFont="1" applyFill="1" applyBorder="1" applyAlignment="1">
      <alignment horizontal="center" vertical="center" wrapText="1"/>
    </xf>
    <xf numFmtId="0" fontId="8" fillId="0" borderId="57" xfId="3" applyNumberFormat="1" applyFont="1" applyBorder="1" applyAlignment="1">
      <alignment horizontal="center" vertical="center" wrapText="1"/>
    </xf>
    <xf numFmtId="165" fontId="8" fillId="0" borderId="207" xfId="0" applyNumberFormat="1" applyFont="1" applyFill="1" applyBorder="1" applyAlignment="1">
      <alignment horizontal="center" wrapText="1"/>
    </xf>
    <xf numFmtId="165" fontId="5" fillId="0" borderId="213" xfId="0" applyNumberFormat="1" applyFont="1" applyBorder="1" applyAlignment="1">
      <alignment horizontal="center" vertical="center"/>
    </xf>
    <xf numFmtId="0" fontId="8" fillId="6" borderId="0" xfId="0" applyFont="1" applyFill="1"/>
    <xf numFmtId="41" fontId="8" fillId="0" borderId="0" xfId="13" applyFont="1"/>
    <xf numFmtId="165" fontId="5" fillId="0" borderId="192" xfId="0" applyNumberFormat="1" applyFont="1" applyBorder="1" applyAlignment="1">
      <alignment horizontal="center" vertical="center" wrapText="1"/>
    </xf>
    <xf numFmtId="165" fontId="5" fillId="0" borderId="192" xfId="0" applyNumberFormat="1" applyFont="1" applyBorder="1" applyAlignment="1">
      <alignment horizontal="center" vertical="top" wrapText="1"/>
    </xf>
    <xf numFmtId="165" fontId="36" fillId="0" borderId="139" xfId="11" applyNumberFormat="1" applyFont="1" applyBorder="1" applyAlignment="1">
      <alignment horizontal="center" wrapText="1"/>
    </xf>
    <xf numFmtId="43" fontId="58" fillId="0" borderId="139" xfId="8" applyNumberFormat="1" applyFont="1" applyBorder="1" applyAlignment="1">
      <alignment horizontal="center" wrapText="1"/>
    </xf>
    <xf numFmtId="165" fontId="35" fillId="0" borderId="192" xfId="8" applyNumberFormat="1" applyFont="1" applyBorder="1" applyAlignment="1">
      <alignment horizontal="center" wrapText="1"/>
    </xf>
    <xf numFmtId="165" fontId="36" fillId="0" borderId="139" xfId="8" applyNumberFormat="1" applyFont="1" applyFill="1" applyBorder="1" applyAlignment="1">
      <alignment horizontal="center" wrapText="1"/>
    </xf>
    <xf numFmtId="43" fontId="36" fillId="0" borderId="139" xfId="8" applyNumberFormat="1" applyFont="1" applyFill="1" applyBorder="1" applyAlignment="1">
      <alignment horizontal="center" wrapText="1"/>
    </xf>
    <xf numFmtId="165" fontId="36" fillId="0" borderId="192" xfId="8" applyNumberFormat="1" applyFont="1" applyFill="1" applyBorder="1" applyAlignment="1">
      <alignment horizontal="center" wrapText="1"/>
    </xf>
    <xf numFmtId="165" fontId="36" fillId="6" borderId="139" xfId="8" applyNumberFormat="1" applyFont="1" applyFill="1" applyBorder="1" applyAlignment="1">
      <alignment horizontal="center" wrapText="1"/>
    </xf>
    <xf numFmtId="43" fontId="36" fillId="0" borderId="139" xfId="8" applyNumberFormat="1" applyFont="1" applyFill="1" applyBorder="1" applyAlignment="1">
      <alignment horizontal="center" vertical="center" wrapText="1"/>
    </xf>
    <xf numFmtId="165" fontId="36" fillId="6" borderId="139" xfId="8" applyNumberFormat="1" applyFont="1" applyFill="1" applyBorder="1" applyAlignment="1">
      <alignment horizontal="center" vertical="center" wrapText="1"/>
    </xf>
    <xf numFmtId="165" fontId="36" fillId="0" borderId="192" xfId="8" applyNumberFormat="1" applyFont="1" applyFill="1" applyBorder="1" applyAlignment="1">
      <alignment horizontal="center" vertical="center" wrapText="1"/>
    </xf>
    <xf numFmtId="43" fontId="43" fillId="0" borderId="139" xfId="0" applyNumberFormat="1" applyFont="1" applyFill="1" applyBorder="1" applyAlignment="1">
      <alignment horizontal="center" wrapText="1"/>
    </xf>
    <xf numFmtId="0" fontId="8" fillId="0" borderId="191" xfId="0" applyFont="1" applyBorder="1"/>
    <xf numFmtId="0" fontId="8" fillId="0" borderId="139" xfId="0" applyFont="1" applyBorder="1"/>
    <xf numFmtId="0" fontId="8" fillId="0" borderId="192" xfId="0" applyFont="1" applyBorder="1"/>
    <xf numFmtId="43" fontId="8" fillId="0" borderId="139" xfId="0" applyNumberFormat="1" applyFont="1" applyFill="1" applyBorder="1" applyAlignment="1">
      <alignment horizontal="center" vertical="center" wrapText="1"/>
    </xf>
    <xf numFmtId="165" fontId="8" fillId="0" borderId="192" xfId="0" applyNumberFormat="1" applyFont="1" applyFill="1" applyBorder="1" applyAlignment="1">
      <alignment horizontal="center" vertical="center" wrapText="1"/>
    </xf>
    <xf numFmtId="0" fontId="55" fillId="0" borderId="0" xfId="0" applyFont="1" applyFill="1"/>
    <xf numFmtId="165" fontId="8" fillId="6" borderId="139" xfId="0" applyNumberFormat="1" applyFont="1" applyFill="1" applyBorder="1" applyAlignment="1">
      <alignment horizontal="center" wrapText="1"/>
    </xf>
    <xf numFmtId="41" fontId="8" fillId="0" borderId="202" xfId="13" applyFont="1" applyBorder="1" applyAlignment="1">
      <alignment horizontal="center" wrapText="1"/>
    </xf>
    <xf numFmtId="43" fontId="8" fillId="0" borderId="202" xfId="0" applyNumberFormat="1" applyFont="1" applyBorder="1" applyAlignment="1">
      <alignment horizontal="center" wrapText="1"/>
    </xf>
    <xf numFmtId="165" fontId="8" fillId="0" borderId="202" xfId="0" applyNumberFormat="1" applyFont="1" applyBorder="1" applyAlignment="1">
      <alignment horizontal="center" wrapText="1"/>
    </xf>
    <xf numFmtId="41" fontId="36" fillId="0" borderId="5" xfId="0" applyNumberFormat="1" applyFont="1" applyFill="1" applyBorder="1" applyAlignment="1"/>
    <xf numFmtId="41" fontId="8" fillId="0" borderId="0" xfId="13" applyFont="1" applyBorder="1" applyAlignment="1">
      <alignment horizontal="center" wrapText="1"/>
    </xf>
    <xf numFmtId="0" fontId="8" fillId="0" borderId="33" xfId="0" applyFont="1" applyBorder="1" applyAlignment="1"/>
    <xf numFmtId="0" fontId="8" fillId="0" borderId="33" xfId="0" applyFont="1" applyBorder="1" applyAlignment="1">
      <alignment horizontal="center"/>
    </xf>
    <xf numFmtId="0" fontId="8" fillId="0" borderId="102" xfId="0" applyFont="1" applyBorder="1" applyAlignment="1"/>
    <xf numFmtId="0" fontId="66" fillId="0" borderId="0" xfId="0" applyFont="1" applyBorder="1" applyAlignment="1"/>
    <xf numFmtId="0" fontId="36" fillId="0" borderId="139" xfId="8" applyNumberFormat="1" applyFont="1" applyFill="1" applyBorder="1" applyAlignment="1">
      <alignment horizontal="center" vertical="center" wrapText="1"/>
    </xf>
    <xf numFmtId="0" fontId="8" fillId="0" borderId="18" xfId="11" applyNumberFormat="1" applyFont="1" applyFill="1" applyBorder="1" applyAlignment="1">
      <alignment vertical="center" wrapText="1"/>
    </xf>
    <xf numFmtId="0" fontId="8" fillId="0" borderId="139" xfId="13" applyNumberFormat="1" applyFont="1" applyBorder="1" applyAlignment="1">
      <alignment horizontal="center" vertical="center" wrapText="1"/>
    </xf>
    <xf numFmtId="0" fontId="8" fillId="0" borderId="139" xfId="0" applyNumberFormat="1" applyFont="1" applyBorder="1" applyAlignment="1">
      <alignment vertical="center"/>
    </xf>
    <xf numFmtId="0" fontId="5" fillId="0" borderId="75" xfId="0" applyNumberFormat="1" applyFont="1" applyBorder="1" applyAlignment="1">
      <alignment horizontal="center" vertical="center" wrapText="1"/>
    </xf>
    <xf numFmtId="0" fontId="5" fillId="6" borderId="75" xfId="0" applyNumberFormat="1" applyFont="1" applyFill="1" applyBorder="1" applyAlignment="1">
      <alignment horizontal="center" vertical="center" wrapText="1"/>
    </xf>
    <xf numFmtId="165" fontId="36" fillId="0" borderId="207" xfId="8" applyNumberFormat="1" applyFont="1" applyFill="1" applyBorder="1" applyAlignment="1">
      <alignment horizontal="center" wrapText="1"/>
    </xf>
    <xf numFmtId="165" fontId="5" fillId="6" borderId="214" xfId="0" applyNumberFormat="1" applyFont="1" applyFill="1" applyBorder="1" applyAlignment="1">
      <alignment horizontal="center" vertical="center"/>
    </xf>
    <xf numFmtId="0" fontId="36" fillId="6" borderId="18" xfId="11" applyNumberFormat="1" applyFont="1" applyFill="1" applyBorder="1" applyAlignment="1">
      <alignment horizontal="center" vertical="center" wrapText="1"/>
    </xf>
    <xf numFmtId="0" fontId="36" fillId="6" borderId="18" xfId="8" applyNumberFormat="1" applyFont="1" applyFill="1" applyBorder="1" applyAlignment="1">
      <alignment horizontal="center" vertical="center" wrapText="1"/>
    </xf>
    <xf numFmtId="0" fontId="8" fillId="6" borderId="18" xfId="0" applyNumberFormat="1" applyFont="1" applyFill="1" applyBorder="1" applyAlignment="1">
      <alignment horizontal="center" vertical="center" wrapText="1"/>
    </xf>
    <xf numFmtId="0" fontId="8" fillId="6" borderId="18" xfId="11" applyNumberFormat="1" applyFont="1" applyFill="1" applyBorder="1" applyAlignment="1">
      <alignment horizontal="center" vertical="center" wrapText="1"/>
    </xf>
    <xf numFmtId="0" fontId="8" fillId="0" borderId="18" xfId="11" applyNumberFormat="1" applyFont="1" applyBorder="1" applyAlignment="1">
      <alignment horizontal="center" vertical="center" wrapText="1"/>
    </xf>
    <xf numFmtId="0" fontId="8" fillId="0" borderId="18" xfId="0" applyNumberFormat="1" applyFont="1" applyFill="1" applyBorder="1" applyAlignment="1">
      <alignment horizontal="center" vertical="center" wrapText="1"/>
    </xf>
    <xf numFmtId="0" fontId="8" fillId="0" borderId="18" xfId="3" applyNumberFormat="1" applyFont="1" applyFill="1" applyBorder="1" applyAlignment="1">
      <alignment horizontal="center" vertical="center" wrapText="1"/>
    </xf>
    <xf numFmtId="0" fontId="8" fillId="0" borderId="18" xfId="3" applyNumberFormat="1" applyFont="1" applyBorder="1" applyAlignment="1">
      <alignment horizontal="center" vertical="center" wrapText="1"/>
    </xf>
    <xf numFmtId="0" fontId="8" fillId="0" borderId="75" xfId="3" applyNumberFormat="1" applyFont="1" applyBorder="1" applyAlignment="1">
      <alignment horizontal="center" vertical="center" wrapText="1"/>
    </xf>
    <xf numFmtId="0" fontId="8" fillId="6" borderId="18" xfId="3" applyNumberFormat="1" applyFont="1" applyFill="1" applyBorder="1" applyAlignment="1">
      <alignment horizontal="center" vertical="center" wrapText="1"/>
    </xf>
    <xf numFmtId="165" fontId="8" fillId="0" borderId="206" xfId="0" applyNumberFormat="1" applyFont="1" applyFill="1" applyBorder="1" applyAlignment="1">
      <alignment horizontal="center" wrapText="1"/>
    </xf>
    <xf numFmtId="0" fontId="8" fillId="0" borderId="114" xfId="0" applyFont="1" applyBorder="1" applyAlignment="1"/>
    <xf numFmtId="0" fontId="35" fillId="0" borderId="67" xfId="8" applyNumberFormat="1" applyFont="1" applyBorder="1" applyAlignment="1">
      <alignment horizontal="center" vertical="center" wrapText="1"/>
    </xf>
    <xf numFmtId="0" fontId="35" fillId="0" borderId="75" xfId="8" applyNumberFormat="1" applyFont="1" applyBorder="1" applyAlignment="1">
      <alignment horizontal="center" vertical="center" wrapText="1"/>
    </xf>
    <xf numFmtId="0" fontId="36" fillId="0" borderId="18" xfId="11" applyNumberFormat="1" applyFont="1" applyBorder="1" applyAlignment="1">
      <alignment horizontal="center" vertical="center" wrapText="1"/>
    </xf>
    <xf numFmtId="0" fontId="36" fillId="0" borderId="18" xfId="11" applyNumberFormat="1" applyFont="1" applyFill="1" applyBorder="1" applyAlignment="1">
      <alignment horizontal="center" vertical="center" wrapText="1"/>
    </xf>
    <xf numFmtId="0" fontId="36" fillId="0" borderId="18" xfId="13" applyNumberFormat="1" applyFont="1" applyBorder="1" applyAlignment="1">
      <alignment horizontal="center" vertical="center" wrapText="1"/>
    </xf>
    <xf numFmtId="0" fontId="36" fillId="0" borderId="75" xfId="3" applyNumberFormat="1" applyFont="1" applyBorder="1" applyAlignment="1">
      <alignment horizontal="center" vertical="center" wrapText="1"/>
    </xf>
    <xf numFmtId="0" fontId="36" fillId="0" borderId="18" xfId="3" applyNumberFormat="1" applyFont="1" applyBorder="1" applyAlignment="1">
      <alignment horizontal="center" vertical="center" wrapText="1"/>
    </xf>
    <xf numFmtId="0" fontId="35" fillId="0" borderId="73" xfId="8" applyFont="1" applyBorder="1" applyAlignment="1">
      <alignment vertical="top" wrapText="1"/>
    </xf>
    <xf numFmtId="0" fontId="35" fillId="0" borderId="18" xfId="8" applyNumberFormat="1" applyFont="1" applyBorder="1" applyAlignment="1">
      <alignment horizontal="center" vertical="center" wrapText="1"/>
    </xf>
    <xf numFmtId="0" fontId="5" fillId="0" borderId="18" xfId="0" applyNumberFormat="1" applyFont="1" applyBorder="1" applyAlignment="1">
      <alignment horizontal="center" vertical="center" wrapText="1"/>
    </xf>
    <xf numFmtId="0" fontId="5" fillId="0" borderId="18" xfId="0" applyNumberFormat="1" applyFont="1" applyBorder="1" applyAlignment="1">
      <alignment vertical="center" wrapText="1"/>
    </xf>
    <xf numFmtId="0" fontId="8" fillId="0" borderId="18" xfId="1" applyNumberFormat="1" applyFont="1" applyBorder="1" applyAlignment="1">
      <alignment vertical="center" wrapText="1"/>
    </xf>
    <xf numFmtId="0" fontId="5" fillId="0" borderId="67" xfId="0" applyNumberFormat="1" applyFont="1" applyBorder="1" applyAlignment="1">
      <alignment horizontal="center" vertical="center" wrapText="1"/>
    </xf>
    <xf numFmtId="0" fontId="5" fillId="0" borderId="68" xfId="0" applyNumberFormat="1" applyFont="1" applyBorder="1" applyAlignment="1">
      <alignment horizontal="center" vertical="center" wrapText="1"/>
    </xf>
    <xf numFmtId="0" fontId="36" fillId="0" borderId="18" xfId="1" applyNumberFormat="1" applyFont="1" applyBorder="1" applyAlignment="1">
      <alignment horizontal="center" vertical="center" wrapText="1"/>
    </xf>
    <xf numFmtId="0" fontId="36" fillId="6" borderId="18" xfId="1" applyNumberFormat="1" applyFont="1" applyFill="1" applyBorder="1" applyAlignment="1">
      <alignment horizontal="center" vertical="center" wrapText="1"/>
    </xf>
    <xf numFmtId="0" fontId="8" fillId="6" borderId="18" xfId="1" applyNumberFormat="1" applyFont="1" applyFill="1" applyBorder="1" applyAlignment="1">
      <alignment horizontal="center" vertical="center" wrapText="1"/>
    </xf>
    <xf numFmtId="0" fontId="8" fillId="0" borderId="25" xfId="1" applyNumberFormat="1" applyFont="1" applyBorder="1" applyAlignment="1">
      <alignment vertical="center" wrapText="1"/>
    </xf>
    <xf numFmtId="0" fontId="8" fillId="0" borderId="71" xfId="0" applyNumberFormat="1" applyFont="1" applyBorder="1" applyAlignment="1">
      <alignment horizontal="center" vertical="center" wrapText="1"/>
    </xf>
    <xf numFmtId="0" fontId="35" fillId="0" borderId="139" xfId="8" applyNumberFormat="1" applyFont="1" applyBorder="1" applyAlignment="1">
      <alignment horizontal="center" vertical="center" wrapText="1"/>
    </xf>
    <xf numFmtId="0" fontId="36" fillId="0" borderId="191" xfId="8" applyFont="1" applyBorder="1" applyAlignment="1">
      <alignment horizontal="center" vertical="center" wrapText="1"/>
    </xf>
    <xf numFmtId="0" fontId="36" fillId="0" borderId="139" xfId="8" quotePrefix="1" applyFont="1" applyBorder="1" applyAlignment="1">
      <alignment horizontal="center" vertical="center" wrapText="1"/>
    </xf>
    <xf numFmtId="0" fontId="36" fillId="0" borderId="139" xfId="8" quotePrefix="1" applyFont="1" applyBorder="1" applyAlignment="1">
      <alignment vertical="center" wrapText="1"/>
    </xf>
    <xf numFmtId="0" fontId="36" fillId="0" borderId="139" xfId="8" applyFont="1" applyBorder="1" applyAlignment="1">
      <alignment horizontal="center" vertical="center" wrapText="1"/>
    </xf>
    <xf numFmtId="3" fontId="36" fillId="0" borderId="0" xfId="8" applyNumberFormat="1" applyFont="1" applyBorder="1" applyAlignment="1">
      <alignment horizontal="center" wrapText="1"/>
    </xf>
    <xf numFmtId="0" fontId="36" fillId="2" borderId="0" xfId="8" applyFont="1" applyFill="1" applyBorder="1" applyAlignment="1">
      <alignment horizontal="center" wrapText="1"/>
    </xf>
    <xf numFmtId="0" fontId="36" fillId="0" borderId="0" xfId="8" applyFont="1" applyBorder="1" applyAlignment="1">
      <alignment wrapText="1"/>
    </xf>
    <xf numFmtId="165" fontId="35" fillId="0" borderId="190" xfId="8" applyNumberFormat="1" applyFont="1" applyBorder="1" applyAlignment="1">
      <alignment horizontal="center" wrapText="1"/>
    </xf>
    <xf numFmtId="165" fontId="35" fillId="0" borderId="0" xfId="8" applyNumberFormat="1" applyFont="1" applyBorder="1" applyAlignment="1">
      <alignment horizontal="center" wrapText="1"/>
    </xf>
    <xf numFmtId="0" fontId="35" fillId="0" borderId="73" xfId="8" applyFont="1" applyBorder="1" applyAlignment="1">
      <alignment vertical="center" wrapText="1"/>
    </xf>
    <xf numFmtId="165" fontId="35" fillId="0" borderId="207" xfId="8" applyNumberFormat="1" applyFont="1" applyBorder="1" applyAlignment="1">
      <alignment vertical="center" wrapText="1"/>
    </xf>
    <xf numFmtId="0" fontId="36" fillId="0" borderId="139" xfId="11" applyNumberFormat="1" applyFont="1" applyBorder="1" applyAlignment="1">
      <alignment horizontal="center" vertical="center" wrapText="1"/>
    </xf>
    <xf numFmtId="43" fontId="36" fillId="0" borderId="139" xfId="8" applyNumberFormat="1" applyFont="1" applyBorder="1" applyAlignment="1">
      <alignment horizontal="center" wrapText="1"/>
    </xf>
    <xf numFmtId="165" fontId="36" fillId="0" borderId="0" xfId="8" applyNumberFormat="1" applyFont="1" applyFill="1" applyBorder="1" applyAlignment="1">
      <alignment horizontal="center" wrapText="1"/>
    </xf>
    <xf numFmtId="165" fontId="8" fillId="0" borderId="0" xfId="0" applyNumberFormat="1" applyFont="1" applyFill="1" applyBorder="1" applyAlignment="1">
      <alignment horizontal="center" wrapText="1"/>
    </xf>
    <xf numFmtId="0" fontId="8" fillId="6" borderId="139" xfId="11" applyNumberFormat="1" applyFont="1" applyFill="1" applyBorder="1" applyAlignment="1">
      <alignment horizontal="center" vertical="center" wrapText="1"/>
    </xf>
    <xf numFmtId="43" fontId="8" fillId="6" borderId="139" xfId="0" applyNumberFormat="1" applyFont="1" applyFill="1" applyBorder="1" applyAlignment="1">
      <alignment horizontal="center" wrapText="1"/>
    </xf>
    <xf numFmtId="165" fontId="8" fillId="6" borderId="139" xfId="11" applyNumberFormat="1" applyFont="1" applyFill="1" applyBorder="1" applyAlignment="1">
      <alignment horizontal="center" wrapText="1"/>
    </xf>
    <xf numFmtId="165" fontId="8" fillId="6" borderId="0" xfId="0" applyNumberFormat="1" applyFont="1" applyFill="1" applyBorder="1" applyAlignment="1">
      <alignment horizontal="center" wrapText="1"/>
    </xf>
    <xf numFmtId="0" fontId="8" fillId="6" borderId="139" xfId="0" applyNumberFormat="1" applyFont="1" applyFill="1" applyBorder="1" applyAlignment="1">
      <alignment horizontal="center" vertical="center" wrapText="1"/>
    </xf>
    <xf numFmtId="0" fontId="36" fillId="0" borderId="139" xfId="11" applyNumberFormat="1" applyFont="1" applyFill="1" applyBorder="1" applyAlignment="1">
      <alignment horizontal="center" vertical="center" wrapText="1"/>
    </xf>
    <xf numFmtId="165" fontId="35" fillId="0" borderId="192" xfId="8" applyNumberFormat="1" applyFont="1" applyFill="1" applyBorder="1" applyAlignment="1">
      <alignment horizontal="center" wrapText="1"/>
    </xf>
    <xf numFmtId="165" fontId="35" fillId="0" borderId="0" xfId="8" applyNumberFormat="1" applyFont="1" applyFill="1" applyBorder="1" applyAlignment="1">
      <alignment horizontal="center" wrapText="1"/>
    </xf>
    <xf numFmtId="41" fontId="36" fillId="0" borderId="0" xfId="13" applyFont="1"/>
    <xf numFmtId="43" fontId="58" fillId="0" borderId="139" xfId="8" applyNumberFormat="1" applyFont="1" applyFill="1" applyBorder="1" applyAlignment="1">
      <alignment horizontal="center" wrapText="1"/>
    </xf>
    <xf numFmtId="43" fontId="36" fillId="0" borderId="0" xfId="11" applyFont="1"/>
    <xf numFmtId="165" fontId="36" fillId="0" borderId="0" xfId="8" applyNumberFormat="1" applyFont="1" applyFill="1"/>
    <xf numFmtId="43" fontId="36" fillId="0" borderId="0" xfId="8" applyNumberFormat="1" applyFont="1" applyFill="1"/>
    <xf numFmtId="0" fontId="36" fillId="0" borderId="0" xfId="8" applyFont="1" applyFill="1"/>
    <xf numFmtId="0" fontId="36" fillId="6" borderId="139" xfId="13" applyNumberFormat="1" applyFont="1" applyFill="1" applyBorder="1" applyAlignment="1">
      <alignment horizontal="center" vertical="center" wrapText="1"/>
    </xf>
    <xf numFmtId="165" fontId="36" fillId="6" borderId="0" xfId="8" applyNumberFormat="1" applyFont="1" applyFill="1" applyBorder="1" applyAlignment="1">
      <alignment horizontal="center" wrapText="1"/>
    </xf>
    <xf numFmtId="41" fontId="8" fillId="0" borderId="0" xfId="0" applyNumberFormat="1" applyFont="1" applyFill="1" applyBorder="1" applyAlignment="1">
      <alignment horizontal="center" wrapText="1"/>
    </xf>
    <xf numFmtId="43" fontId="36" fillId="6" borderId="139" xfId="8" applyNumberFormat="1" applyFont="1" applyFill="1" applyBorder="1" applyAlignment="1">
      <alignment horizontal="center" vertical="center" wrapText="1"/>
    </xf>
    <xf numFmtId="165" fontId="36" fillId="6" borderId="192" xfId="8" applyNumberFormat="1" applyFont="1" applyFill="1" applyBorder="1" applyAlignment="1">
      <alignment horizontal="center" vertical="center" wrapText="1"/>
    </xf>
    <xf numFmtId="165" fontId="36" fillId="6" borderId="0" xfId="8" applyNumberFormat="1" applyFont="1" applyFill="1" applyBorder="1" applyAlignment="1">
      <alignment horizontal="center" vertical="center" wrapText="1"/>
    </xf>
    <xf numFmtId="0" fontId="36" fillId="0" borderId="139" xfId="13" applyNumberFormat="1" applyFont="1" applyBorder="1" applyAlignment="1">
      <alignment horizontal="center" vertical="center" wrapText="1"/>
    </xf>
    <xf numFmtId="165" fontId="36" fillId="0" borderId="139" xfId="8" applyNumberFormat="1" applyFont="1" applyBorder="1" applyAlignment="1">
      <alignment horizontal="center" wrapText="1"/>
    </xf>
    <xf numFmtId="165" fontId="36" fillId="0" borderId="192" xfId="8" applyNumberFormat="1" applyFont="1" applyBorder="1" applyAlignment="1">
      <alignment horizontal="center" wrapText="1"/>
    </xf>
    <xf numFmtId="165" fontId="36" fillId="0" borderId="0" xfId="8" applyNumberFormat="1" applyFont="1" applyBorder="1" applyAlignment="1">
      <alignment horizontal="center" wrapText="1"/>
    </xf>
    <xf numFmtId="0" fontId="35" fillId="0" borderId="139" xfId="11" applyNumberFormat="1" applyFont="1" applyBorder="1" applyAlignment="1">
      <alignment horizontal="center" vertical="center" wrapText="1"/>
    </xf>
    <xf numFmtId="165" fontId="35" fillId="0" borderId="139" xfId="8" applyNumberFormat="1" applyFont="1" applyBorder="1" applyAlignment="1">
      <alignment horizontal="center" wrapText="1"/>
    </xf>
    <xf numFmtId="0" fontId="49" fillId="0" borderId="0" xfId="8" applyFont="1" applyAlignment="1">
      <alignment horizontal="right"/>
    </xf>
    <xf numFmtId="0" fontId="49" fillId="0" borderId="0" xfId="8" applyFont="1" applyFill="1" applyAlignment="1"/>
    <xf numFmtId="165" fontId="36" fillId="0" borderId="0" xfId="8" applyNumberFormat="1" applyFont="1" applyAlignment="1">
      <alignment horizontal="right"/>
    </xf>
    <xf numFmtId="165" fontId="67" fillId="0" borderId="0" xfId="8" applyNumberFormat="1" applyFont="1"/>
    <xf numFmtId="41" fontId="36" fillId="0" borderId="139" xfId="13" applyFont="1" applyFill="1" applyBorder="1" applyAlignment="1">
      <alignment horizontal="center" wrapText="1"/>
    </xf>
    <xf numFmtId="165" fontId="36" fillId="0" borderId="0" xfId="8" applyNumberFormat="1" applyFont="1" applyBorder="1"/>
    <xf numFmtId="165" fontId="36" fillId="0" borderId="0" xfId="11" applyNumberFormat="1" applyFont="1" applyFill="1" applyBorder="1" applyAlignment="1">
      <alignment horizontal="center" wrapText="1"/>
    </xf>
    <xf numFmtId="43" fontId="58" fillId="0" borderId="0" xfId="8" applyNumberFormat="1" applyFont="1" applyFill="1" applyBorder="1" applyAlignment="1">
      <alignment horizontal="center" wrapText="1"/>
    </xf>
    <xf numFmtId="43" fontId="36" fillId="0" borderId="0" xfId="8" applyNumberFormat="1" applyFont="1" applyFill="1" applyBorder="1" applyAlignment="1">
      <alignment horizontal="center" wrapText="1"/>
    </xf>
    <xf numFmtId="41" fontId="36" fillId="0" borderId="0" xfId="13" applyFont="1" applyFill="1" applyBorder="1" applyAlignment="1">
      <alignment horizontal="center" wrapText="1"/>
    </xf>
    <xf numFmtId="41" fontId="8" fillId="0" borderId="0" xfId="0" applyNumberFormat="1" applyFont="1" applyBorder="1" applyAlignment="1">
      <alignment horizontal="center" wrapText="1"/>
    </xf>
    <xf numFmtId="0" fontId="8" fillId="0" borderId="139" xfId="0" applyNumberFormat="1" applyFont="1" applyBorder="1" applyAlignment="1">
      <alignment horizontal="center" vertical="center" wrapText="1"/>
    </xf>
    <xf numFmtId="0" fontId="8" fillId="0" borderId="0" xfId="8" applyFont="1"/>
    <xf numFmtId="41" fontId="36" fillId="0" borderId="139" xfId="13" applyFont="1" applyFill="1" applyBorder="1" applyAlignment="1">
      <alignment horizontal="center" vertical="center" wrapText="1"/>
    </xf>
    <xf numFmtId="0" fontId="49" fillId="0" borderId="0" xfId="8" applyFont="1"/>
    <xf numFmtId="41" fontId="8" fillId="0" borderId="192" xfId="0" applyNumberFormat="1" applyFont="1" applyBorder="1" applyAlignment="1">
      <alignment horizontal="center" wrapText="1"/>
    </xf>
    <xf numFmtId="165" fontId="5" fillId="0" borderId="0" xfId="0" applyNumberFormat="1" applyFont="1" applyFill="1" applyBorder="1" applyAlignment="1">
      <alignment horizontal="center" wrapText="1"/>
    </xf>
    <xf numFmtId="0" fontId="63" fillId="0" borderId="0" xfId="8" applyFont="1" applyFill="1" applyBorder="1" applyAlignment="1"/>
    <xf numFmtId="0" fontId="63" fillId="0" borderId="0" xfId="8" applyFont="1" applyFill="1" applyBorder="1"/>
    <xf numFmtId="0" fontId="8" fillId="0" borderId="18" xfId="13" applyNumberFormat="1" applyFont="1" applyBorder="1" applyAlignment="1">
      <alignment horizontal="center" vertical="center" wrapText="1"/>
    </xf>
    <xf numFmtId="0" fontId="36" fillId="0" borderId="202" xfId="11" applyNumberFormat="1" applyFont="1" applyFill="1" applyBorder="1" applyAlignment="1">
      <alignment horizontal="center" vertical="center" wrapText="1"/>
    </xf>
    <xf numFmtId="43" fontId="36" fillId="0" borderId="202" xfId="8" applyNumberFormat="1" applyFont="1" applyFill="1" applyBorder="1" applyAlignment="1">
      <alignment horizontal="center" wrapText="1"/>
    </xf>
    <xf numFmtId="165" fontId="36" fillId="0" borderId="202" xfId="13" applyNumberFormat="1" applyFont="1" applyFill="1" applyBorder="1" applyAlignment="1">
      <alignment horizontal="center" wrapText="1"/>
    </xf>
    <xf numFmtId="41" fontId="36" fillId="0" borderId="5" xfId="8" applyNumberFormat="1" applyFont="1" applyBorder="1"/>
    <xf numFmtId="165" fontId="35" fillId="0" borderId="0" xfId="8" applyNumberFormat="1" applyFont="1" applyBorder="1" applyAlignment="1">
      <alignment horizontal="center" vertical="center"/>
    </xf>
    <xf numFmtId="0" fontId="68" fillId="0" borderId="0" xfId="8" applyFont="1" applyBorder="1" applyAlignment="1">
      <alignment horizontal="center"/>
    </xf>
    <xf numFmtId="0" fontId="36" fillId="0" borderId="0" xfId="8" applyFont="1" applyBorder="1" applyAlignment="1">
      <alignment horizontal="right" wrapText="1" indent="1"/>
    </xf>
    <xf numFmtId="165" fontId="35" fillId="0" borderId="213" xfId="8" applyNumberFormat="1" applyFont="1" applyBorder="1" applyAlignment="1">
      <alignment horizontal="center" vertical="center"/>
    </xf>
    <xf numFmtId="165" fontId="8" fillId="0" borderId="19" xfId="11" applyNumberFormat="1" applyFont="1" applyBorder="1" applyAlignment="1">
      <alignment horizontal="center" wrapText="1"/>
    </xf>
    <xf numFmtId="43" fontId="30" fillId="0" borderId="18" xfId="0" applyNumberFormat="1" applyFont="1" applyFill="1" applyBorder="1" applyAlignment="1">
      <alignment horizontal="center" wrapText="1"/>
    </xf>
    <xf numFmtId="165" fontId="8" fillId="0" borderId="206" xfId="0" applyNumberFormat="1" applyFont="1" applyFill="1" applyBorder="1" applyAlignment="1">
      <alignment vertical="center" wrapText="1"/>
    </xf>
    <xf numFmtId="41" fontId="8" fillId="0" borderId="19" xfId="13" applyFont="1" applyFill="1" applyBorder="1" applyAlignment="1">
      <alignment horizontal="center" wrapText="1"/>
    </xf>
    <xf numFmtId="0" fontId="8" fillId="0" borderId="81" xfId="0" applyFont="1" applyBorder="1" applyAlignment="1">
      <alignment wrapText="1"/>
    </xf>
    <xf numFmtId="43" fontId="8" fillId="6" borderId="18" xfId="0" applyNumberFormat="1" applyFont="1" applyFill="1" applyBorder="1" applyAlignment="1">
      <alignment horizontal="center" vertical="center" wrapText="1"/>
    </xf>
    <xf numFmtId="49" fontId="46" fillId="0" borderId="215" xfId="0" applyNumberFormat="1" applyFont="1" applyFill="1" applyBorder="1" applyAlignment="1" applyProtection="1">
      <alignment horizontal="center" vertical="center"/>
    </xf>
    <xf numFmtId="168" fontId="46" fillId="0" borderId="215" xfId="0" applyNumberFormat="1" applyFont="1" applyFill="1" applyBorder="1" applyAlignment="1" applyProtection="1">
      <alignment horizontal="center" vertical="center"/>
    </xf>
    <xf numFmtId="3" fontId="46" fillId="0" borderId="216" xfId="0" applyNumberFormat="1" applyFont="1" applyFill="1" applyBorder="1" applyAlignment="1" applyProtection="1">
      <alignment horizontal="right" vertical="center"/>
    </xf>
    <xf numFmtId="0" fontId="46" fillId="0" borderId="217" xfId="0" applyFont="1" applyFill="1" applyBorder="1" applyProtection="1"/>
    <xf numFmtId="49" fontId="46" fillId="0" borderId="218" xfId="0" applyNumberFormat="1" applyFont="1" applyFill="1" applyBorder="1" applyAlignment="1" applyProtection="1">
      <alignment horizontal="center" vertical="center"/>
    </xf>
    <xf numFmtId="168" fontId="46" fillId="0" borderId="218" xfId="0" applyNumberFormat="1" applyFont="1" applyFill="1" applyBorder="1" applyAlignment="1" applyProtection="1">
      <alignment horizontal="center" vertical="center"/>
    </xf>
    <xf numFmtId="3" fontId="46" fillId="0" borderId="219" xfId="0" applyNumberFormat="1" applyFont="1" applyFill="1" applyBorder="1" applyAlignment="1" applyProtection="1">
      <alignment horizontal="right" vertical="center"/>
    </xf>
    <xf numFmtId="0" fontId="46" fillId="0" borderId="220" xfId="0" applyFont="1" applyFill="1" applyBorder="1" applyProtection="1"/>
    <xf numFmtId="0" fontId="46" fillId="0" borderId="221" xfId="0" applyFont="1" applyFill="1" applyBorder="1" applyProtection="1"/>
    <xf numFmtId="49" fontId="46" fillId="0" borderId="222" xfId="0" applyNumberFormat="1" applyFont="1" applyFill="1" applyBorder="1" applyAlignment="1" applyProtection="1">
      <alignment horizontal="center" vertical="center"/>
    </xf>
    <xf numFmtId="168" fontId="46" fillId="0" borderId="222" xfId="0" applyNumberFormat="1" applyFont="1" applyFill="1" applyBorder="1" applyAlignment="1" applyProtection="1">
      <alignment horizontal="center" vertical="center"/>
    </xf>
    <xf numFmtId="3" fontId="46" fillId="0" borderId="223" xfId="0" applyNumberFormat="1" applyFont="1" applyFill="1" applyBorder="1" applyAlignment="1" applyProtection="1">
      <alignment horizontal="right" vertical="center"/>
    </xf>
    <xf numFmtId="41" fontId="5" fillId="0" borderId="203" xfId="0" applyNumberFormat="1" applyFont="1" applyFill="1" applyBorder="1" applyAlignment="1">
      <alignment vertical="center" wrapText="1"/>
    </xf>
    <xf numFmtId="43" fontId="36" fillId="6" borderId="19" xfId="0" applyNumberFormat="1" applyFont="1" applyFill="1" applyBorder="1" applyAlignment="1">
      <alignment horizontal="center" vertical="center" wrapText="1"/>
    </xf>
    <xf numFmtId="165" fontId="36" fillId="6" borderId="87" xfId="0" applyNumberFormat="1" applyFont="1" applyFill="1" applyBorder="1" applyAlignment="1">
      <alignment horizontal="center" vertical="center" wrapText="1"/>
    </xf>
    <xf numFmtId="43" fontId="36" fillId="6" borderId="17" xfId="0" applyNumberFormat="1" applyFont="1" applyFill="1" applyBorder="1" applyAlignment="1">
      <alignment horizontal="center" vertical="center" wrapText="1"/>
    </xf>
    <xf numFmtId="0" fontId="36" fillId="0" borderId="18" xfId="8" applyFont="1" applyBorder="1" applyAlignment="1">
      <alignment vertical="center" wrapText="1"/>
    </xf>
    <xf numFmtId="43" fontId="36" fillId="0" borderId="139" xfId="8" applyNumberFormat="1" applyFont="1" applyBorder="1" applyAlignment="1">
      <alignment horizontal="center" vertical="center" wrapText="1"/>
    </xf>
    <xf numFmtId="41" fontId="36" fillId="0" borderId="139" xfId="13" applyFont="1" applyBorder="1" applyAlignment="1">
      <alignment horizontal="center" vertical="center" wrapText="1"/>
    </xf>
    <xf numFmtId="165" fontId="36" fillId="0" borderId="192" xfId="8" applyNumberFormat="1" applyFont="1" applyBorder="1" applyAlignment="1">
      <alignment horizontal="center" vertical="center" wrapText="1"/>
    </xf>
    <xf numFmtId="0" fontId="8" fillId="0" borderId="57" xfId="11" applyNumberFormat="1" applyFont="1" applyFill="1" applyBorder="1" applyAlignment="1">
      <alignment horizontal="center" vertical="center" wrapText="1"/>
    </xf>
    <xf numFmtId="0" fontId="36" fillId="6" borderId="71" xfId="8" quotePrefix="1" applyFont="1" applyFill="1" applyBorder="1" applyAlignment="1">
      <alignment wrapText="1" readingOrder="1"/>
    </xf>
    <xf numFmtId="0" fontId="36" fillId="0" borderId="74" xfId="8" applyFont="1" applyBorder="1" applyAlignment="1">
      <alignment horizontal="center" wrapText="1"/>
    </xf>
    <xf numFmtId="0" fontId="36" fillId="0" borderId="74" xfId="8" quotePrefix="1" applyFont="1" applyBorder="1" applyAlignment="1">
      <alignment horizontal="center" wrapText="1"/>
    </xf>
    <xf numFmtId="0" fontId="8" fillId="6" borderId="139" xfId="0" applyFont="1" applyFill="1" applyBorder="1"/>
    <xf numFmtId="0" fontId="8" fillId="6" borderId="58" xfId="0" applyFont="1" applyFill="1" applyBorder="1" applyAlignment="1">
      <alignment horizontal="left" vertical="top" wrapText="1"/>
    </xf>
    <xf numFmtId="0" fontId="4" fillId="0" borderId="122" xfId="0" applyFont="1" applyBorder="1" applyAlignment="1">
      <alignment horizontal="left" wrapText="1"/>
    </xf>
    <xf numFmtId="0" fontId="4" fillId="0" borderId="4" xfId="0" applyFont="1" applyBorder="1" applyAlignment="1">
      <alignment vertical="center" wrapText="1"/>
    </xf>
    <xf numFmtId="0" fontId="4" fillId="0" borderId="4" xfId="0" applyFont="1" applyFill="1" applyBorder="1" applyAlignment="1">
      <alignment vertical="center" wrapText="1"/>
    </xf>
    <xf numFmtId="0" fontId="46" fillId="0" borderId="224" xfId="0" applyFont="1" applyBorder="1" applyAlignment="1">
      <alignment vertical="center" wrapText="1"/>
    </xf>
    <xf numFmtId="0" fontId="46" fillId="0" borderId="224" xfId="0" applyFont="1" applyBorder="1" applyAlignment="1">
      <alignment horizontal="center" vertical="center" wrapText="1"/>
    </xf>
    <xf numFmtId="0" fontId="46" fillId="0" borderId="225" xfId="0" applyFont="1" applyBorder="1" applyAlignment="1">
      <alignment vertical="center" wrapText="1"/>
    </xf>
    <xf numFmtId="0" fontId="46" fillId="0" borderId="225" xfId="0" applyFont="1" applyBorder="1" applyAlignment="1">
      <alignment horizontal="center" vertical="center" wrapText="1"/>
    </xf>
    <xf numFmtId="3" fontId="46" fillId="0" borderId="224" xfId="0" applyNumberFormat="1" applyFont="1" applyBorder="1" applyAlignment="1">
      <alignment vertical="center" wrapText="1"/>
    </xf>
    <xf numFmtId="3" fontId="46" fillId="0" borderId="225" xfId="0" applyNumberFormat="1" applyFont="1" applyBorder="1" applyAlignment="1">
      <alignment vertical="center" wrapText="1"/>
    </xf>
    <xf numFmtId="3" fontId="46" fillId="0" borderId="225" xfId="0" applyNumberFormat="1" applyFont="1" applyBorder="1" applyAlignment="1">
      <alignment horizontal="right" vertical="center" wrapText="1"/>
    </xf>
    <xf numFmtId="0" fontId="46" fillId="0" borderId="226" xfId="0" applyFont="1" applyBorder="1" applyAlignment="1">
      <alignment vertical="center" wrapText="1"/>
    </xf>
    <xf numFmtId="0" fontId="46" fillId="0" borderId="226" xfId="0" applyFont="1" applyBorder="1" applyAlignment="1">
      <alignment horizontal="center" vertical="center" wrapText="1"/>
    </xf>
    <xf numFmtId="0" fontId="46" fillId="0" borderId="225" xfId="0" applyFont="1" applyBorder="1" applyAlignment="1">
      <alignment horizontal="center" vertical="center" wrapText="1"/>
    </xf>
    <xf numFmtId="0" fontId="46" fillId="0" borderId="226" xfId="0" applyFont="1" applyBorder="1" applyAlignment="1">
      <alignment horizontal="center" vertical="center" wrapText="1"/>
    </xf>
    <xf numFmtId="0" fontId="3" fillId="0" borderId="1" xfId="0" applyFont="1" applyBorder="1" applyAlignment="1">
      <alignment horizontal="right" wrapText="1"/>
    </xf>
    <xf numFmtId="0" fontId="46" fillId="0" borderId="227" xfId="0" applyFont="1" applyBorder="1" applyAlignment="1">
      <alignment horizontal="center" vertical="center" wrapText="1"/>
    </xf>
    <xf numFmtId="0" fontId="34" fillId="0" borderId="4" xfId="8" applyFont="1" applyBorder="1" applyAlignment="1">
      <alignment vertical="center" wrapText="1"/>
    </xf>
    <xf numFmtId="0" fontId="46" fillId="0" borderId="227" xfId="0" applyFont="1" applyBorder="1" applyAlignment="1">
      <alignment vertical="center" wrapText="1"/>
    </xf>
    <xf numFmtId="41" fontId="8" fillId="0" borderId="87" xfId="0" applyNumberFormat="1" applyFont="1" applyFill="1" applyBorder="1" applyAlignment="1">
      <alignment horizontal="center" vertical="center" wrapText="1"/>
    </xf>
    <xf numFmtId="3" fontId="46" fillId="0" borderId="228" xfId="0" applyNumberFormat="1" applyFont="1" applyBorder="1" applyAlignment="1">
      <alignment horizontal="right" vertical="center" wrapText="1"/>
    </xf>
    <xf numFmtId="0" fontId="46" fillId="0" borderId="229" xfId="0" applyFont="1" applyBorder="1" applyAlignment="1">
      <alignment horizontal="left" vertical="center" wrapText="1"/>
    </xf>
    <xf numFmtId="0" fontId="46" fillId="0" borderId="229" xfId="0" applyFont="1" applyBorder="1" applyAlignment="1">
      <alignment horizontal="center" vertical="center" wrapText="1"/>
    </xf>
    <xf numFmtId="0" fontId="46" fillId="0" borderId="230" xfId="0" applyFont="1" applyBorder="1" applyAlignment="1">
      <alignment horizontal="center" vertical="center" wrapText="1"/>
    </xf>
    <xf numFmtId="41" fontId="36" fillId="0" borderId="87" xfId="0" applyNumberFormat="1" applyFont="1" applyFill="1" applyBorder="1" applyAlignment="1">
      <alignment horizontal="center" wrapText="1"/>
    </xf>
    <xf numFmtId="41" fontId="8" fillId="0" borderId="69" xfId="2" applyFont="1" applyBorder="1" applyAlignment="1">
      <alignment horizontal="center" wrapText="1"/>
    </xf>
    <xf numFmtId="0" fontId="3" fillId="0" borderId="79" xfId="0" applyFont="1" applyBorder="1" applyAlignment="1">
      <alignment horizontal="right" wrapText="1"/>
    </xf>
    <xf numFmtId="0" fontId="8" fillId="0" borderId="1" xfId="0" applyFont="1" applyBorder="1" applyAlignment="1">
      <alignment horizontal="center" wrapText="1"/>
    </xf>
    <xf numFmtId="41" fontId="5" fillId="0" borderId="126" xfId="0" applyNumberFormat="1" applyFont="1" applyFill="1" applyBorder="1" applyAlignment="1">
      <alignment horizontal="center" wrapText="1"/>
    </xf>
    <xf numFmtId="0" fontId="8" fillId="0" borderId="90" xfId="0" applyFont="1" applyFill="1" applyBorder="1" applyAlignment="1">
      <alignment horizontal="center" wrapText="1"/>
    </xf>
    <xf numFmtId="0" fontId="46" fillId="0" borderId="26" xfId="0" applyFont="1" applyBorder="1" applyAlignment="1">
      <alignment vertical="center" wrapText="1"/>
    </xf>
    <xf numFmtId="0" fontId="46" fillId="0" borderId="26" xfId="0" applyFont="1" applyBorder="1" applyAlignment="1">
      <alignment horizontal="center" vertical="center" wrapText="1"/>
    </xf>
    <xf numFmtId="41" fontId="8" fillId="0" borderId="26" xfId="2" applyFont="1" applyBorder="1" applyAlignment="1">
      <alignment horizontal="center" wrapText="1"/>
    </xf>
    <xf numFmtId="0" fontId="46" fillId="0" borderId="231" xfId="0" applyFont="1" applyFill="1" applyBorder="1" applyAlignment="1" applyProtection="1">
      <alignment vertical="center"/>
    </xf>
    <xf numFmtId="0" fontId="46" fillId="0" borderId="19" xfId="0" applyFont="1" applyBorder="1" applyAlignment="1">
      <alignment vertical="center" wrapText="1"/>
    </xf>
    <xf numFmtId="0" fontId="46" fillId="0" borderId="19" xfId="0" applyFont="1" applyFill="1" applyBorder="1" applyAlignment="1" applyProtection="1"/>
    <xf numFmtId="0" fontId="46" fillId="0" borderId="18" xfId="0" applyFont="1" applyBorder="1" applyAlignment="1">
      <alignment vertical="center" wrapText="1"/>
    </xf>
    <xf numFmtId="0" fontId="46" fillId="0" borderId="232" xfId="0" applyFont="1" applyFill="1" applyBorder="1" applyAlignment="1" applyProtection="1">
      <alignment horizontal="center" vertical="center"/>
    </xf>
    <xf numFmtId="3" fontId="46" fillId="0" borderId="224" xfId="0" applyNumberFormat="1" applyFont="1" applyBorder="1" applyAlignment="1">
      <alignment horizontal="right" vertical="center" wrapText="1"/>
    </xf>
    <xf numFmtId="3" fontId="46" fillId="0" borderId="233" xfId="0" applyNumberFormat="1" applyFont="1" applyBorder="1" applyAlignment="1">
      <alignment horizontal="right" vertical="center" wrapText="1"/>
    </xf>
    <xf numFmtId="41" fontId="8" fillId="0" borderId="87" xfId="2" applyNumberFormat="1" applyFont="1" applyBorder="1" applyAlignment="1">
      <alignment horizontal="right" vertical="center" wrapText="1"/>
    </xf>
    <xf numFmtId="0" fontId="36" fillId="0" borderId="18" xfId="0" applyNumberFormat="1" applyFont="1" applyBorder="1" applyAlignment="1">
      <alignment horizontal="center" vertical="center" wrapText="1"/>
    </xf>
    <xf numFmtId="43" fontId="36" fillId="0" borderId="18" xfId="0" applyNumberFormat="1" applyFont="1" applyBorder="1" applyAlignment="1">
      <alignment horizontal="center" wrapText="1"/>
    </xf>
    <xf numFmtId="165" fontId="36" fillId="0" borderId="19" xfId="0" applyNumberFormat="1" applyFont="1" applyBorder="1" applyAlignment="1">
      <alignment horizontal="right" wrapText="1"/>
    </xf>
    <xf numFmtId="41" fontId="36" fillId="0" borderId="97" xfId="2" applyNumberFormat="1" applyFont="1" applyBorder="1" applyAlignment="1">
      <alignment horizontal="right" wrapText="1"/>
    </xf>
    <xf numFmtId="0" fontId="46" fillId="0" borderId="19" xfId="0" applyFont="1" applyBorder="1"/>
    <xf numFmtId="0" fontId="46" fillId="0" borderId="0" xfId="0" applyFont="1" applyAlignment="1">
      <alignment wrapText="1"/>
    </xf>
    <xf numFmtId="43" fontId="36" fillId="6" borderId="18" xfId="8" applyNumberFormat="1" applyFont="1" applyFill="1" applyBorder="1" applyAlignment="1">
      <alignment horizontal="center" vertical="center" wrapText="1"/>
    </xf>
    <xf numFmtId="165" fontId="36" fillId="6" borderId="19" xfId="8" applyNumberFormat="1" applyFont="1" applyFill="1" applyBorder="1" applyAlignment="1">
      <alignment horizontal="center" vertical="center" wrapText="1"/>
    </xf>
    <xf numFmtId="165" fontId="36" fillId="6" borderId="87" xfId="8" applyNumberFormat="1" applyFont="1" applyFill="1" applyBorder="1" applyAlignment="1">
      <alignment horizontal="center" vertical="center" wrapText="1"/>
    </xf>
    <xf numFmtId="0" fontId="8" fillId="0" borderId="199" xfId="0" applyFont="1" applyBorder="1" applyAlignment="1">
      <alignment horizontal="center" wrapText="1"/>
    </xf>
    <xf numFmtId="0" fontId="46" fillId="0" borderId="234" xfId="0" applyFont="1" applyBorder="1" applyAlignment="1">
      <alignment horizontal="center" vertical="center" wrapText="1"/>
    </xf>
    <xf numFmtId="0" fontId="36" fillId="0" borderId="18" xfId="0" applyFont="1" applyBorder="1" applyAlignment="1">
      <alignment horizontal="center" wrapText="1"/>
    </xf>
    <xf numFmtId="165" fontId="36" fillId="0" borderId="19" xfId="1" applyNumberFormat="1" applyFont="1" applyBorder="1" applyAlignment="1">
      <alignment horizontal="right" wrapText="1"/>
    </xf>
    <xf numFmtId="41" fontId="36" fillId="6" borderId="87" xfId="2" applyNumberFormat="1" applyFont="1" applyFill="1" applyBorder="1" applyAlignment="1">
      <alignment horizontal="right" wrapText="1"/>
    </xf>
    <xf numFmtId="165" fontId="36" fillId="0" borderId="19" xfId="0" applyNumberFormat="1" applyFont="1" applyBorder="1" applyAlignment="1">
      <alignment horizontal="center" wrapText="1"/>
    </xf>
    <xf numFmtId="43" fontId="36" fillId="0" borderId="18" xfId="8" applyNumberFormat="1" applyFont="1" applyFill="1" applyBorder="1" applyAlignment="1">
      <alignment horizontal="center" vertical="center" wrapText="1"/>
    </xf>
    <xf numFmtId="165" fontId="36" fillId="0" borderId="19" xfId="8" applyNumberFormat="1" applyFont="1" applyFill="1" applyBorder="1" applyAlignment="1">
      <alignment horizontal="center" vertical="center" wrapText="1"/>
    </xf>
    <xf numFmtId="165" fontId="36" fillId="0" borderId="87" xfId="8" applyNumberFormat="1" applyFont="1" applyFill="1" applyBorder="1" applyAlignment="1">
      <alignment horizontal="center" vertical="center" wrapText="1"/>
    </xf>
    <xf numFmtId="0" fontId="36" fillId="0" borderId="17" xfId="8" quotePrefix="1" applyFont="1" applyFill="1" applyBorder="1" applyAlignment="1">
      <alignment horizontal="left" vertical="top" wrapText="1"/>
    </xf>
    <xf numFmtId="165" fontId="36" fillId="0" borderId="235" xfId="8" applyNumberFormat="1" applyFont="1" applyFill="1" applyBorder="1" applyAlignment="1">
      <alignment horizontal="center" wrapText="1"/>
    </xf>
    <xf numFmtId="0" fontId="17" fillId="0" borderId="19" xfId="0" quotePrefix="1" applyFont="1" applyBorder="1" applyAlignment="1">
      <alignment wrapText="1"/>
    </xf>
    <xf numFmtId="0" fontId="36" fillId="0" borderId="86" xfId="0" applyFont="1" applyBorder="1" applyAlignment="1">
      <alignment horizontal="center" wrapText="1"/>
    </xf>
    <xf numFmtId="0" fontId="36" fillId="0" borderId="17" xfId="0" quotePrefix="1" applyFont="1" applyBorder="1" applyAlignment="1">
      <alignment horizontal="center" wrapText="1"/>
    </xf>
    <xf numFmtId="0" fontId="36" fillId="0" borderId="19" xfId="0" quotePrefix="1" applyFont="1" applyBorder="1" applyAlignment="1">
      <alignment wrapText="1"/>
    </xf>
    <xf numFmtId="0" fontId="36" fillId="0" borderId="19" xfId="0" applyFont="1" applyBorder="1" applyAlignment="1">
      <alignment horizontal="center" wrapText="1"/>
    </xf>
    <xf numFmtId="0" fontId="36" fillId="0" borderId="17" xfId="0" applyFont="1" applyBorder="1" applyAlignment="1">
      <alignment horizontal="center" wrapText="1"/>
    </xf>
    <xf numFmtId="0" fontId="36" fillId="0" borderId="19" xfId="0" applyFont="1" applyBorder="1"/>
    <xf numFmtId="0" fontId="69" fillId="0" borderId="19" xfId="0" applyFont="1" applyBorder="1" applyAlignment="1">
      <alignment horizontal="center"/>
    </xf>
    <xf numFmtId="41" fontId="69" fillId="0" borderId="19" xfId="2" applyFont="1" applyBorder="1" applyAlignment="1">
      <alignment horizontal="center"/>
    </xf>
    <xf numFmtId="41" fontId="36" fillId="0" borderId="19" xfId="2" applyFont="1" applyBorder="1"/>
    <xf numFmtId="165" fontId="36" fillId="0" borderId="87" xfId="0" applyNumberFormat="1" applyFont="1" applyFill="1" applyBorder="1" applyAlignment="1">
      <alignment horizontal="center" wrapText="1"/>
    </xf>
    <xf numFmtId="0" fontId="36" fillId="0" borderId="19" xfId="0" quotePrefix="1" applyFont="1" applyBorder="1"/>
    <xf numFmtId="0" fontId="36" fillId="0" borderId="19" xfId="0" applyFont="1" applyBorder="1" applyAlignment="1">
      <alignment horizontal="center"/>
    </xf>
    <xf numFmtId="41" fontId="36" fillId="0" borderId="19" xfId="2" applyFont="1" applyFill="1" applyBorder="1" applyAlignment="1">
      <alignment horizontal="center"/>
    </xf>
    <xf numFmtId="0" fontId="8" fillId="0" borderId="4" xfId="0" applyFont="1" applyBorder="1" applyAlignment="1">
      <alignment vertical="center" wrapText="1"/>
    </xf>
    <xf numFmtId="0" fontId="8" fillId="0" borderId="4" xfId="0" applyFont="1" applyFill="1" applyBorder="1" applyAlignment="1">
      <alignment vertical="center" wrapText="1"/>
    </xf>
    <xf numFmtId="0" fontId="36" fillId="0" borderId="139" xfId="8" quotePrefix="1" applyFont="1" applyFill="1" applyBorder="1" applyAlignment="1">
      <alignment horizontal="left" vertical="center" wrapText="1"/>
    </xf>
    <xf numFmtId="43" fontId="36" fillId="0" borderId="139" xfId="0" applyNumberFormat="1" applyFont="1" applyBorder="1" applyAlignment="1">
      <alignment horizontal="center" wrapText="1"/>
    </xf>
    <xf numFmtId="165" fontId="36" fillId="0" borderId="139" xfId="0" applyNumberFormat="1" applyFont="1" applyBorder="1" applyAlignment="1">
      <alignment horizontal="center" wrapText="1"/>
    </xf>
    <xf numFmtId="0" fontId="36" fillId="6" borderId="19" xfId="0" quotePrefix="1" applyFont="1" applyFill="1" applyBorder="1" applyAlignment="1">
      <alignment horizontal="left" wrapText="1"/>
    </xf>
    <xf numFmtId="0" fontId="36" fillId="0" borderId="18" xfId="0" applyNumberFormat="1" applyFont="1" applyFill="1" applyBorder="1" applyAlignment="1">
      <alignment horizontal="center" vertical="center" wrapText="1"/>
    </xf>
    <xf numFmtId="43" fontId="36" fillId="0" borderId="18" xfId="0" applyNumberFormat="1" applyFont="1" applyFill="1" applyBorder="1" applyAlignment="1">
      <alignment horizontal="center" wrapText="1"/>
    </xf>
    <xf numFmtId="165" fontId="36" fillId="0" borderId="19" xfId="0" applyNumberFormat="1" applyFont="1" applyFill="1" applyBorder="1" applyAlignment="1">
      <alignment horizontal="center" wrapText="1"/>
    </xf>
    <xf numFmtId="0" fontId="36" fillId="0" borderId="0" xfId="0" applyFont="1"/>
    <xf numFmtId="0" fontId="36" fillId="0" borderId="139" xfId="0" quotePrefix="1" applyFont="1" applyFill="1" applyBorder="1" applyAlignment="1">
      <alignment wrapText="1"/>
    </xf>
    <xf numFmtId="43" fontId="36" fillId="0" borderId="139" xfId="0" applyNumberFormat="1" applyFont="1" applyFill="1" applyBorder="1" applyAlignment="1">
      <alignment horizontal="center" vertical="center" wrapText="1"/>
    </xf>
    <xf numFmtId="0" fontId="36" fillId="6" borderId="19" xfId="8" quotePrefix="1" applyFont="1" applyFill="1" applyBorder="1" applyAlignment="1">
      <alignment horizontal="left" vertical="center" wrapText="1"/>
    </xf>
    <xf numFmtId="0" fontId="36" fillId="0" borderId="18" xfId="8" quotePrefix="1" applyFont="1" applyFill="1" applyBorder="1" applyAlignment="1">
      <alignment horizontal="left" vertical="top" wrapText="1"/>
    </xf>
    <xf numFmtId="165" fontId="36" fillId="0" borderId="139" xfId="8" applyNumberFormat="1" applyFont="1" applyFill="1" applyBorder="1" applyAlignment="1">
      <alignment horizontal="center" vertical="center" wrapText="1"/>
    </xf>
    <xf numFmtId="0" fontId="36" fillId="6" borderId="139" xfId="0" applyNumberFormat="1" applyFont="1" applyFill="1" applyBorder="1" applyAlignment="1">
      <alignment horizontal="center" vertical="center" wrapText="1"/>
    </xf>
    <xf numFmtId="43" fontId="36" fillId="6" borderId="139" xfId="0" applyNumberFormat="1" applyFont="1" applyFill="1" applyBorder="1" applyAlignment="1">
      <alignment horizontal="center" wrapText="1"/>
    </xf>
    <xf numFmtId="165" fontId="36" fillId="6" borderId="139" xfId="11" applyNumberFormat="1" applyFont="1" applyFill="1" applyBorder="1" applyAlignment="1">
      <alignment horizontal="center" wrapText="1"/>
    </xf>
    <xf numFmtId="165" fontId="36" fillId="6" borderId="192" xfId="0" applyNumberFormat="1" applyFont="1" applyFill="1" applyBorder="1" applyAlignment="1">
      <alignment horizontal="center" wrapText="1"/>
    </xf>
    <xf numFmtId="0" fontId="36" fillId="0" borderId="139" xfId="13" applyNumberFormat="1" applyFont="1" applyFill="1" applyBorder="1" applyAlignment="1">
      <alignment horizontal="center" vertical="center" wrapText="1"/>
    </xf>
    <xf numFmtId="43" fontId="36" fillId="6" borderId="139" xfId="8" applyNumberFormat="1" applyFont="1" applyFill="1" applyBorder="1" applyAlignment="1">
      <alignment horizontal="center" wrapText="1"/>
    </xf>
    <xf numFmtId="165" fontId="36" fillId="6" borderId="192" xfId="8" applyNumberFormat="1" applyFont="1" applyFill="1" applyBorder="1" applyAlignment="1">
      <alignment horizontal="center" wrapText="1"/>
    </xf>
    <xf numFmtId="43" fontId="36" fillId="0" borderId="139" xfId="0" applyNumberFormat="1" applyFont="1" applyFill="1" applyBorder="1" applyAlignment="1">
      <alignment horizontal="center" wrapText="1"/>
    </xf>
    <xf numFmtId="165" fontId="36" fillId="0" borderId="139" xfId="0" applyNumberFormat="1" applyFont="1" applyFill="1" applyBorder="1" applyAlignment="1">
      <alignment horizontal="center" wrapText="1"/>
    </xf>
    <xf numFmtId="41" fontId="36" fillId="0" borderId="192" xfId="0" applyNumberFormat="1" applyFont="1" applyFill="1" applyBorder="1" applyAlignment="1">
      <alignment horizontal="center" wrapText="1"/>
    </xf>
    <xf numFmtId="0" fontId="36" fillId="0" borderId="18" xfId="0" applyFont="1" applyFill="1" applyBorder="1" applyAlignment="1">
      <alignment horizontal="left" wrapText="1"/>
    </xf>
    <xf numFmtId="0" fontId="36" fillId="0" borderId="139" xfId="0" applyNumberFormat="1" applyFont="1" applyFill="1" applyBorder="1" applyAlignment="1">
      <alignment horizontal="center" vertical="center" wrapText="1"/>
    </xf>
    <xf numFmtId="165" fontId="36" fillId="0" borderId="192" xfId="0" applyNumberFormat="1" applyFont="1" applyFill="1" applyBorder="1" applyAlignment="1">
      <alignment horizontal="center" wrapText="1"/>
    </xf>
    <xf numFmtId="0" fontId="36" fillId="6" borderId="18" xfId="0" quotePrefix="1" applyFont="1" applyFill="1" applyBorder="1" applyAlignment="1">
      <alignment horizontal="left" wrapText="1"/>
    </xf>
    <xf numFmtId="165" fontId="36" fillId="0" borderId="139" xfId="0" applyNumberFormat="1" applyFont="1" applyFill="1" applyBorder="1" applyAlignment="1">
      <alignment horizontal="center" vertical="center" wrapText="1"/>
    </xf>
    <xf numFmtId="165" fontId="36" fillId="0" borderId="192" xfId="0" applyNumberFormat="1" applyFont="1" applyFill="1" applyBorder="1" applyAlignment="1">
      <alignment horizontal="center" vertical="center" wrapText="1"/>
    </xf>
    <xf numFmtId="165" fontId="36" fillId="0" borderId="192" xfId="0" applyNumberFormat="1" applyFont="1" applyBorder="1" applyAlignment="1">
      <alignment horizontal="center" wrapText="1"/>
    </xf>
    <xf numFmtId="0" fontId="36" fillId="0" borderId="46" xfId="8" quotePrefix="1" applyFont="1" applyBorder="1" applyAlignment="1">
      <alignment readingOrder="1"/>
    </xf>
    <xf numFmtId="0" fontId="36" fillId="0" borderId="17" xfId="8" quotePrefix="1" applyFont="1" applyBorder="1" applyAlignment="1">
      <alignment vertical="center" wrapText="1"/>
    </xf>
    <xf numFmtId="0" fontId="36" fillId="0" borderId="69" xfId="8" applyFont="1" applyBorder="1" applyAlignment="1">
      <alignment horizontal="center" vertical="center" wrapText="1"/>
    </xf>
    <xf numFmtId="0" fontId="36" fillId="0" borderId="69" xfId="8" quotePrefix="1" applyFont="1" applyBorder="1" applyAlignment="1">
      <alignment horizontal="center" vertical="center" wrapText="1"/>
    </xf>
    <xf numFmtId="0" fontId="36" fillId="0" borderId="19" xfId="8" quotePrefix="1" applyFont="1" applyFill="1" applyBorder="1" applyAlignment="1">
      <alignment horizontal="left" vertical="center" wrapText="1"/>
    </xf>
    <xf numFmtId="0" fontId="36" fillId="0" borderId="19" xfId="0" applyFont="1" applyFill="1" applyBorder="1" applyAlignment="1">
      <alignment horizontal="left" wrapText="1"/>
    </xf>
    <xf numFmtId="165" fontId="36" fillId="0" borderId="19" xfId="11" applyNumberFormat="1" applyFont="1" applyBorder="1" applyAlignment="1">
      <alignment horizontal="center" wrapText="1"/>
    </xf>
    <xf numFmtId="0" fontId="17" fillId="0" borderId="70" xfId="0" applyFont="1" applyFill="1" applyBorder="1" applyAlignment="1">
      <alignment vertical="center" wrapText="1" readingOrder="1"/>
    </xf>
    <xf numFmtId="0" fontId="36" fillId="6" borderId="70" xfId="0" applyFont="1" applyFill="1" applyBorder="1" applyAlignment="1">
      <alignment wrapText="1" readingOrder="1"/>
    </xf>
    <xf numFmtId="43" fontId="36" fillId="0" borderId="19" xfId="0" applyNumberFormat="1" applyFont="1" applyFill="1" applyBorder="1" applyAlignment="1">
      <alignment horizontal="center" wrapText="1"/>
    </xf>
    <xf numFmtId="165" fontId="36" fillId="0" borderId="87" xfId="0" applyNumberFormat="1" applyFont="1" applyBorder="1" applyAlignment="1">
      <alignment horizontal="center" vertical="center" wrapText="1"/>
    </xf>
    <xf numFmtId="0" fontId="36" fillId="0" borderId="205" xfId="0" applyFont="1" applyFill="1" applyBorder="1" applyAlignment="1">
      <alignment wrapText="1" readingOrder="1"/>
    </xf>
    <xf numFmtId="43" fontId="36" fillId="0" borderId="17" xfId="0" applyNumberFormat="1" applyFont="1" applyFill="1" applyBorder="1" applyAlignment="1">
      <alignment horizontal="center" wrapText="1"/>
    </xf>
    <xf numFmtId="165" fontId="36" fillId="0" borderId="87" xfId="0" applyNumberFormat="1" applyFont="1" applyFill="1" applyBorder="1" applyAlignment="1">
      <alignment horizontal="center" vertical="center" wrapText="1"/>
    </xf>
    <xf numFmtId="165" fontId="15" fillId="0" borderId="194" xfId="0" applyNumberFormat="1" applyFont="1" applyBorder="1" applyAlignment="1">
      <alignment vertical="center" wrapText="1"/>
    </xf>
    <xf numFmtId="0" fontId="8" fillId="0" borderId="27" xfId="9" applyFont="1" applyBorder="1" applyAlignment="1">
      <alignment horizontal="center"/>
    </xf>
    <xf numFmtId="0" fontId="4" fillId="0" borderId="122" xfId="0" applyFont="1" applyBorder="1" applyAlignment="1">
      <alignment horizontal="left" wrapText="1"/>
    </xf>
    <xf numFmtId="0" fontId="34" fillId="0" borderId="4" xfId="8" applyFont="1" applyBorder="1" applyAlignment="1">
      <alignment wrapText="1"/>
    </xf>
    <xf numFmtId="0" fontId="36" fillId="0" borderId="0" xfId="8" applyFont="1" applyBorder="1" applyAlignment="1">
      <alignment horizontal="center" wrapText="1"/>
    </xf>
    <xf numFmtId="0" fontId="35" fillId="0" borderId="81" xfId="8" applyFont="1" applyBorder="1" applyAlignment="1">
      <alignment horizontal="center" wrapText="1"/>
    </xf>
    <xf numFmtId="42" fontId="36" fillId="0" borderId="0" xfId="6" applyFont="1" applyBorder="1" applyAlignment="1">
      <alignment horizontal="center" wrapText="1"/>
    </xf>
    <xf numFmtId="0" fontId="8" fillId="6" borderId="18" xfId="0" applyFont="1" applyFill="1" applyBorder="1" applyAlignment="1">
      <alignment horizontal="center" vertical="center" wrapText="1"/>
    </xf>
    <xf numFmtId="0" fontId="8" fillId="6" borderId="18" xfId="0" applyFont="1" applyFill="1" applyBorder="1" applyAlignment="1">
      <alignment horizontal="center" wrapText="1"/>
    </xf>
    <xf numFmtId="41" fontId="8" fillId="6" borderId="19" xfId="2" applyFont="1" applyFill="1" applyBorder="1" applyAlignment="1">
      <alignment horizontal="center" wrapText="1"/>
    </xf>
    <xf numFmtId="169" fontId="8" fillId="0" borderId="0" xfId="0" applyNumberFormat="1" applyFont="1"/>
    <xf numFmtId="0" fontId="8" fillId="0" borderId="73" xfId="0" quotePrefix="1" applyFont="1" applyBorder="1" applyAlignment="1">
      <alignment wrapText="1"/>
    </xf>
    <xf numFmtId="165" fontId="36" fillId="0" borderId="0" xfId="0" applyNumberFormat="1" applyFont="1" applyFill="1" applyBorder="1" applyAlignment="1">
      <alignment horizontal="center" wrapText="1"/>
    </xf>
    <xf numFmtId="165" fontId="8" fillId="0" borderId="235" xfId="0" applyNumberFormat="1" applyFont="1" applyFill="1" applyBorder="1" applyAlignment="1">
      <alignment horizontal="center" wrapText="1"/>
    </xf>
    <xf numFmtId="0" fontId="35" fillId="6" borderId="73" xfId="8" applyFont="1" applyFill="1" applyBorder="1" applyAlignment="1">
      <alignment vertical="top" wrapText="1"/>
    </xf>
    <xf numFmtId="0" fontId="37" fillId="6" borderId="19" xfId="8" applyFont="1" applyFill="1" applyBorder="1" applyAlignment="1">
      <alignment vertical="top" wrapText="1"/>
    </xf>
    <xf numFmtId="49" fontId="35" fillId="6" borderId="19" xfId="8" applyNumberFormat="1" applyFont="1" applyFill="1" applyBorder="1" applyAlignment="1">
      <alignment horizontal="left" wrapText="1"/>
    </xf>
    <xf numFmtId="165" fontId="36" fillId="6" borderId="18" xfId="1" applyNumberFormat="1" applyFont="1" applyFill="1" applyBorder="1" applyAlignment="1">
      <alignment horizontal="center" vertical="center" wrapText="1"/>
    </xf>
    <xf numFmtId="165" fontId="36" fillId="6" borderId="97" xfId="1" applyNumberFormat="1" applyFont="1" applyFill="1" applyBorder="1" applyAlignment="1">
      <alignment horizontal="center" vertical="center" wrapText="1"/>
    </xf>
    <xf numFmtId="0" fontId="36" fillId="6" borderId="19" xfId="8" applyNumberFormat="1" applyFont="1" applyFill="1" applyBorder="1" applyAlignment="1">
      <alignment horizontal="center" vertical="center" wrapText="1"/>
    </xf>
    <xf numFmtId="165" fontId="36" fillId="6" borderId="19" xfId="1" applyNumberFormat="1" applyFont="1" applyFill="1" applyBorder="1" applyAlignment="1">
      <alignment horizontal="center" vertical="center" wrapText="1"/>
    </xf>
    <xf numFmtId="165" fontId="36" fillId="6" borderId="87" xfId="1" applyNumberFormat="1" applyFont="1" applyFill="1" applyBorder="1" applyAlignment="1">
      <alignment horizontal="center" vertical="center" wrapText="1"/>
    </xf>
    <xf numFmtId="49" fontId="36" fillId="6" borderId="73" xfId="8" applyNumberFormat="1" applyFont="1" applyFill="1" applyBorder="1" applyAlignment="1">
      <alignment horizontal="left" wrapText="1"/>
    </xf>
    <xf numFmtId="165" fontId="36" fillId="6" borderId="17" xfId="1" applyNumberFormat="1" applyFont="1" applyFill="1" applyBorder="1" applyAlignment="1">
      <alignment horizontal="center" vertical="center" wrapText="1"/>
    </xf>
    <xf numFmtId="165" fontId="36" fillId="6" borderId="99" xfId="1" applyNumberFormat="1" applyFont="1" applyFill="1" applyBorder="1" applyAlignment="1">
      <alignment horizontal="center" vertical="center" wrapText="1"/>
    </xf>
    <xf numFmtId="0" fontId="70" fillId="6" borderId="18" xfId="8" applyNumberFormat="1" applyFont="1" applyFill="1" applyBorder="1" applyAlignment="1">
      <alignment horizontal="center" vertical="center" wrapText="1"/>
    </xf>
    <xf numFmtId="0" fontId="70" fillId="6" borderId="19" xfId="8" applyNumberFormat="1" applyFont="1" applyFill="1" applyBorder="1" applyAlignment="1">
      <alignment horizontal="center" vertical="center" wrapText="1"/>
    </xf>
    <xf numFmtId="165" fontId="70" fillId="6" borderId="17" xfId="1" applyNumberFormat="1" applyFont="1" applyFill="1" applyBorder="1" applyAlignment="1">
      <alignment horizontal="center" vertical="center" wrapText="1"/>
    </xf>
    <xf numFmtId="165" fontId="5" fillId="6" borderId="99" xfId="1" applyNumberFormat="1" applyFont="1" applyFill="1" applyBorder="1" applyAlignment="1">
      <alignment horizontal="center" vertical="center" wrapText="1"/>
    </xf>
    <xf numFmtId="165" fontId="35" fillId="0" borderId="97" xfId="8" applyNumberFormat="1" applyFont="1" applyFill="1" applyBorder="1" applyAlignment="1">
      <alignment horizontal="center" wrapText="1"/>
    </xf>
    <xf numFmtId="165" fontId="36" fillId="0" borderId="97" xfId="8" applyNumberFormat="1" applyFont="1" applyFill="1" applyBorder="1" applyAlignment="1">
      <alignment horizontal="center" wrapText="1"/>
    </xf>
    <xf numFmtId="0" fontId="35" fillId="0" borderId="19" xfId="8" quotePrefix="1" applyFont="1" applyBorder="1" applyAlignment="1">
      <alignment readingOrder="1"/>
    </xf>
    <xf numFmtId="0" fontId="36" fillId="0" borderId="19" xfId="8" applyFont="1" applyBorder="1"/>
    <xf numFmtId="165" fontId="36" fillId="0" borderId="188" xfId="8" applyNumberFormat="1" applyFont="1" applyBorder="1" applyAlignment="1">
      <alignment horizontal="center" wrapText="1"/>
    </xf>
    <xf numFmtId="165" fontId="36" fillId="0" borderId="81" xfId="8" applyNumberFormat="1" applyFont="1" applyBorder="1" applyAlignment="1">
      <alignment horizontal="center" wrapText="1"/>
    </xf>
    <xf numFmtId="165" fontId="36" fillId="0" borderId="236" xfId="8" applyNumberFormat="1" applyFont="1" applyBorder="1" applyAlignment="1">
      <alignment horizontal="center" wrapText="1"/>
    </xf>
    <xf numFmtId="165" fontId="36" fillId="0" borderId="206" xfId="8" applyNumberFormat="1" applyFont="1" applyFill="1" applyBorder="1" applyAlignment="1">
      <alignment horizontal="center" wrapText="1"/>
    </xf>
    <xf numFmtId="0" fontId="36" fillId="0" borderId="4" xfId="8" applyFont="1" applyFill="1" applyBorder="1" applyAlignment="1">
      <alignment vertical="center" wrapText="1"/>
    </xf>
    <xf numFmtId="0" fontId="0" fillId="0" borderId="57" xfId="0" applyBorder="1" applyAlignment="1">
      <alignment horizontal="center" vertical="center"/>
    </xf>
    <xf numFmtId="41" fontId="0" fillId="0" borderId="74" xfId="2" applyFont="1" applyBorder="1" applyAlignment="1">
      <alignment horizontal="right" vertical="center"/>
    </xf>
    <xf numFmtId="165" fontId="8" fillId="0" borderId="99" xfId="0" applyNumberFormat="1" applyFont="1" applyFill="1" applyBorder="1" applyAlignment="1">
      <alignment horizontal="center" vertical="center" wrapText="1"/>
    </xf>
    <xf numFmtId="0" fontId="35" fillId="6" borderId="73" xfId="0" applyFont="1" applyFill="1" applyBorder="1" applyAlignment="1">
      <alignment wrapText="1" readingOrder="1"/>
    </xf>
    <xf numFmtId="165" fontId="8" fillId="6" borderId="18" xfId="0" applyNumberFormat="1" applyFont="1" applyFill="1" applyBorder="1" applyAlignment="1">
      <alignment horizontal="center" wrapText="1"/>
    </xf>
    <xf numFmtId="165" fontId="8" fillId="6" borderId="87" xfId="0" applyNumberFormat="1" applyFont="1" applyFill="1" applyBorder="1" applyAlignment="1">
      <alignment horizontal="center" vertical="center" wrapText="1"/>
    </xf>
    <xf numFmtId="41" fontId="8" fillId="0" borderId="19" xfId="1" applyNumberFormat="1" applyFont="1" applyFill="1" applyBorder="1" applyAlignment="1">
      <alignment vertical="center" readingOrder="1"/>
    </xf>
    <xf numFmtId="0" fontId="4" fillId="0" borderId="57" xfId="0" applyFont="1" applyBorder="1" applyAlignment="1">
      <alignment horizontal="left" wrapText="1"/>
    </xf>
    <xf numFmtId="0" fontId="4" fillId="0" borderId="69" xfId="0" applyFont="1" applyBorder="1" applyAlignment="1">
      <alignment horizontal="left" wrapText="1"/>
    </xf>
    <xf numFmtId="41" fontId="8" fillId="6" borderId="17" xfId="2" applyFont="1" applyFill="1" applyBorder="1" applyAlignment="1">
      <alignment horizontal="center" vertical="center"/>
    </xf>
    <xf numFmtId="165" fontId="8" fillId="6" borderId="17" xfId="0" applyNumberFormat="1" applyFont="1" applyFill="1" applyBorder="1" applyAlignment="1">
      <alignment horizontal="center" vertical="center" wrapText="1"/>
    </xf>
    <xf numFmtId="43" fontId="8" fillId="6" borderId="17" xfId="0" applyNumberFormat="1" applyFont="1" applyFill="1" applyBorder="1" applyAlignment="1">
      <alignment horizontal="center" vertical="center" wrapText="1"/>
    </xf>
    <xf numFmtId="165" fontId="8" fillId="6" borderId="17" xfId="0" applyNumberFormat="1" applyFont="1" applyFill="1" applyBorder="1" applyAlignment="1">
      <alignment horizontal="center" vertical="center"/>
    </xf>
    <xf numFmtId="43" fontId="8" fillId="6" borderId="17" xfId="0" applyNumberFormat="1" applyFont="1" applyFill="1" applyBorder="1" applyAlignment="1">
      <alignment horizontal="center" vertical="center"/>
    </xf>
    <xf numFmtId="43" fontId="8" fillId="6" borderId="17" xfId="0" applyNumberFormat="1" applyFont="1" applyFill="1" applyBorder="1" applyAlignment="1">
      <alignment horizontal="center"/>
    </xf>
    <xf numFmtId="165" fontId="8" fillId="6" borderId="17" xfId="0" applyNumberFormat="1" applyFont="1" applyFill="1" applyBorder="1" applyAlignment="1">
      <alignment horizontal="center" wrapText="1"/>
    </xf>
    <xf numFmtId="43" fontId="8" fillId="6" borderId="17" xfId="0" applyNumberFormat="1" applyFont="1" applyFill="1" applyBorder="1" applyAlignment="1">
      <alignment horizontal="center" wrapText="1"/>
    </xf>
    <xf numFmtId="41" fontId="8" fillId="6" borderId="17" xfId="0" applyNumberFormat="1" applyFont="1" applyFill="1" applyBorder="1" applyAlignment="1">
      <alignment horizontal="center" vertical="center"/>
    </xf>
    <xf numFmtId="43" fontId="8" fillId="6" borderId="17" xfId="0" applyNumberFormat="1" applyFont="1" applyFill="1" applyBorder="1" applyAlignment="1">
      <alignment horizontal="center" vertical="top"/>
    </xf>
    <xf numFmtId="165" fontId="8" fillId="6" borderId="17" xfId="0" applyNumberFormat="1" applyFont="1" applyFill="1" applyBorder="1" applyAlignment="1">
      <alignment horizontal="center" vertical="top" wrapText="1"/>
    </xf>
    <xf numFmtId="43" fontId="8" fillId="6" borderId="17" xfId="0" applyNumberFormat="1" applyFont="1" applyFill="1" applyBorder="1" applyAlignment="1">
      <alignment horizontal="center" vertical="top" wrapText="1"/>
    </xf>
    <xf numFmtId="165" fontId="8" fillId="6" borderId="17" xfId="0" applyNumberFormat="1" applyFont="1" applyFill="1" applyBorder="1" applyAlignment="1">
      <alignment horizontal="center"/>
    </xf>
    <xf numFmtId="165" fontId="8" fillId="6" borderId="17" xfId="0" applyNumberFormat="1" applyFont="1" applyFill="1" applyBorder="1" applyAlignment="1">
      <alignment horizontal="left" vertical="center"/>
    </xf>
    <xf numFmtId="165" fontId="8" fillId="6" borderId="17" xfId="0" applyNumberFormat="1" applyFont="1" applyFill="1" applyBorder="1" applyAlignment="1">
      <alignment horizontal="left" vertical="center" wrapText="1"/>
    </xf>
    <xf numFmtId="0" fontId="8" fillId="0" borderId="27" xfId="9" applyFont="1" applyBorder="1" applyAlignment="1">
      <alignment horizontal="center"/>
    </xf>
    <xf numFmtId="42" fontId="5" fillId="0" borderId="0" xfId="14" applyFont="1" applyBorder="1" applyAlignment="1">
      <alignment horizontal="center" wrapText="1"/>
    </xf>
    <xf numFmtId="0" fontId="8" fillId="6" borderId="73" xfId="0" quotePrefix="1" applyFont="1" applyFill="1" applyBorder="1" applyAlignment="1">
      <alignment horizontal="left" wrapText="1"/>
    </xf>
    <xf numFmtId="0" fontId="8" fillId="6" borderId="73" xfId="0" quotePrefix="1" applyFont="1" applyFill="1" applyBorder="1" applyAlignment="1">
      <alignment wrapText="1" readingOrder="1"/>
    </xf>
    <xf numFmtId="0" fontId="8" fillId="6" borderId="65" xfId="0" quotePrefix="1" applyFont="1" applyFill="1" applyBorder="1" applyAlignment="1">
      <alignment vertical="center" wrapText="1"/>
    </xf>
    <xf numFmtId="0" fontId="8" fillId="6" borderId="67" xfId="13" applyNumberFormat="1" applyFont="1" applyFill="1" applyBorder="1" applyAlignment="1">
      <alignment horizontal="center" vertical="center" wrapText="1"/>
    </xf>
    <xf numFmtId="43" fontId="8" fillId="6" borderId="67" xfId="0" applyNumberFormat="1" applyFont="1" applyFill="1" applyBorder="1" applyAlignment="1">
      <alignment horizontal="center" vertical="center" wrapText="1"/>
    </xf>
    <xf numFmtId="165" fontId="8" fillId="6" borderId="65" xfId="0" applyNumberFormat="1" applyFont="1" applyFill="1" applyBorder="1" applyAlignment="1">
      <alignment horizontal="center" vertical="center" wrapText="1"/>
    </xf>
    <xf numFmtId="0" fontId="8" fillId="0" borderId="18" xfId="0" quotePrefix="1" applyFont="1" applyFill="1" applyBorder="1" applyAlignment="1">
      <alignment readingOrder="1"/>
    </xf>
    <xf numFmtId="0" fontId="8" fillId="0" borderId="19" xfId="0" quotePrefix="1" applyFont="1" applyFill="1" applyBorder="1" applyAlignment="1">
      <alignment horizontal="left" vertical="center" wrapText="1" readingOrder="1"/>
    </xf>
    <xf numFmtId="0" fontId="8" fillId="6" borderId="65" xfId="0" quotePrefix="1" applyFont="1" applyFill="1" applyBorder="1" applyAlignment="1">
      <alignment horizontal="left" wrapText="1"/>
    </xf>
    <xf numFmtId="0" fontId="8" fillId="0" borderId="75" xfId="13" applyNumberFormat="1" applyFont="1" applyBorder="1" applyAlignment="1">
      <alignment horizontal="center" vertical="center" wrapText="1"/>
    </xf>
    <xf numFmtId="43" fontId="8" fillId="0" borderId="18" xfId="0" applyNumberFormat="1" applyFont="1" applyFill="1" applyBorder="1" applyAlignment="1">
      <alignment horizontal="center" vertical="center" wrapText="1" readingOrder="1"/>
    </xf>
    <xf numFmtId="41" fontId="8" fillId="0" borderId="19" xfId="13" applyFont="1" applyFill="1" applyBorder="1" applyAlignment="1">
      <alignment horizontal="center" vertical="center" wrapText="1" readingOrder="1"/>
    </xf>
    <xf numFmtId="0" fontId="8" fillId="6" borderId="74" xfId="0" quotePrefix="1" applyFont="1" applyFill="1" applyBorder="1" applyAlignment="1">
      <alignment horizontal="left" wrapText="1"/>
    </xf>
    <xf numFmtId="0" fontId="8" fillId="0" borderId="26" xfId="0" quotePrefix="1" applyFont="1" applyBorder="1" applyAlignment="1">
      <alignment horizontal="center" wrapText="1"/>
    </xf>
    <xf numFmtId="0" fontId="17" fillId="6" borderId="26" xfId="0" quotePrefix="1" applyFont="1" applyFill="1" applyBorder="1" applyAlignment="1">
      <alignment readingOrder="1"/>
    </xf>
    <xf numFmtId="0" fontId="8" fillId="0" borderId="26" xfId="13" applyNumberFormat="1" applyFont="1" applyBorder="1" applyAlignment="1">
      <alignment horizontal="center" vertical="center" wrapText="1"/>
    </xf>
    <xf numFmtId="43" fontId="36" fillId="0" borderId="26" xfId="8" applyNumberFormat="1" applyFont="1" applyFill="1" applyBorder="1" applyAlignment="1">
      <alignment horizontal="center" wrapText="1"/>
    </xf>
    <xf numFmtId="165" fontId="8" fillId="6" borderId="26" xfId="0" applyNumberFormat="1" applyFont="1" applyFill="1" applyBorder="1" applyAlignment="1">
      <alignment horizontal="center" wrapText="1"/>
    </xf>
    <xf numFmtId="0" fontId="8" fillId="0" borderId="18" xfId="8" applyNumberFormat="1" applyFont="1" applyFill="1" applyBorder="1" applyAlignment="1">
      <alignment horizontal="center" vertical="center" wrapText="1"/>
    </xf>
    <xf numFmtId="0" fontId="32" fillId="0" borderId="19" xfId="0" applyFont="1" applyBorder="1" applyAlignment="1">
      <alignment horizontal="center" vertical="center" wrapText="1"/>
    </xf>
    <xf numFmtId="0" fontId="5" fillId="0" borderId="73" xfId="0" applyFont="1" applyBorder="1" applyAlignment="1">
      <alignment wrapText="1"/>
    </xf>
    <xf numFmtId="0" fontId="5" fillId="0" borderId="19" xfId="0" applyFont="1" applyBorder="1" applyAlignment="1">
      <alignment vertical="center" wrapText="1"/>
    </xf>
    <xf numFmtId="43" fontId="36" fillId="0" borderId="19" xfId="11" quotePrefix="1" applyFont="1" applyFill="1" applyBorder="1" applyAlignment="1">
      <alignment wrapText="1"/>
    </xf>
    <xf numFmtId="49" fontId="36" fillId="0" borderId="19" xfId="8" quotePrefix="1" applyNumberFormat="1" applyFont="1" applyFill="1" applyBorder="1" applyAlignment="1">
      <alignment horizontal="left" wrapText="1"/>
    </xf>
    <xf numFmtId="0" fontId="36" fillId="6" borderId="73" xfId="0" quotePrefix="1" applyFont="1" applyFill="1" applyBorder="1" applyAlignment="1">
      <alignment horizontal="left" vertical="center" wrapText="1" readingOrder="1"/>
    </xf>
    <xf numFmtId="0" fontId="36" fillId="6" borderId="75" xfId="1" applyNumberFormat="1" applyFont="1" applyFill="1" applyBorder="1" applyAlignment="1">
      <alignment horizontal="center" vertical="center" wrapText="1"/>
    </xf>
    <xf numFmtId="43" fontId="36" fillId="6" borderId="73" xfId="0" applyNumberFormat="1" applyFont="1" applyFill="1" applyBorder="1" applyAlignment="1">
      <alignment horizontal="center" vertical="center" wrapText="1"/>
    </xf>
    <xf numFmtId="165" fontId="36" fillId="6" borderId="73" xfId="0" applyNumberFormat="1" applyFont="1" applyFill="1" applyBorder="1" applyAlignment="1">
      <alignment horizontal="center" vertical="center" wrapText="1"/>
    </xf>
    <xf numFmtId="165" fontId="36" fillId="6" borderId="206" xfId="0" applyNumberFormat="1" applyFont="1" applyFill="1" applyBorder="1" applyAlignment="1">
      <alignment horizontal="center" vertical="center" wrapText="1"/>
    </xf>
    <xf numFmtId="43" fontId="36" fillId="6" borderId="17" xfId="0" applyNumberFormat="1" applyFont="1" applyFill="1" applyBorder="1" applyAlignment="1">
      <alignment horizontal="center" wrapText="1"/>
    </xf>
    <xf numFmtId="0" fontId="36" fillId="6" borderId="73" xfId="0" quotePrefix="1" applyFont="1" applyFill="1" applyBorder="1" applyAlignment="1">
      <alignment wrapText="1" readingOrder="1"/>
    </xf>
    <xf numFmtId="0" fontId="36" fillId="6" borderId="73" xfId="0" applyFont="1" applyFill="1" applyBorder="1" applyAlignment="1">
      <alignment vertical="center" wrapText="1" readingOrder="1"/>
    </xf>
    <xf numFmtId="0" fontId="36" fillId="6" borderId="73" xfId="0" quotePrefix="1" applyFont="1" applyFill="1" applyBorder="1" applyAlignment="1">
      <alignment vertical="center" wrapText="1" readingOrder="1"/>
    </xf>
    <xf numFmtId="165" fontId="36" fillId="6" borderId="17" xfId="0" applyNumberFormat="1" applyFont="1" applyFill="1" applyBorder="1" applyAlignment="1">
      <alignment horizontal="center" vertical="center" wrapText="1"/>
    </xf>
    <xf numFmtId="165" fontId="36" fillId="6" borderId="19" xfId="0" applyNumberFormat="1" applyFont="1" applyFill="1" applyBorder="1" applyAlignment="1">
      <alignment horizontal="center" wrapText="1"/>
    </xf>
    <xf numFmtId="41" fontId="36" fillId="6" borderId="87" xfId="0" applyNumberFormat="1" applyFont="1" applyFill="1" applyBorder="1" applyAlignment="1">
      <alignment horizontal="center" wrapText="1"/>
    </xf>
    <xf numFmtId="0" fontId="36" fillId="0" borderId="86" xfId="0" applyFont="1" applyBorder="1" applyAlignment="1">
      <alignment horizontal="center" vertical="center" wrapText="1"/>
    </xf>
    <xf numFmtId="0" fontId="36" fillId="0" borderId="17" xfId="0" quotePrefix="1" applyFont="1" applyBorder="1" applyAlignment="1">
      <alignment horizontal="center" vertical="center" wrapText="1"/>
    </xf>
    <xf numFmtId="0" fontId="36" fillId="0" borderId="17" xfId="0" applyFont="1" applyBorder="1" applyAlignment="1">
      <alignment horizontal="center" vertical="center" wrapText="1"/>
    </xf>
    <xf numFmtId="0" fontId="36" fillId="0" borderId="139" xfId="0" quotePrefix="1" applyFont="1" applyFill="1" applyBorder="1" applyAlignment="1">
      <alignment horizontal="left" wrapText="1"/>
    </xf>
    <xf numFmtId="0" fontId="36" fillId="6" borderId="17" xfId="0" quotePrefix="1" applyFont="1" applyFill="1" applyBorder="1" applyAlignment="1">
      <alignment wrapText="1"/>
    </xf>
    <xf numFmtId="0" fontId="36" fillId="0" borderId="139" xfId="0" applyFont="1" applyBorder="1" applyAlignment="1">
      <alignment horizontal="center" wrapText="1"/>
    </xf>
    <xf numFmtId="0" fontId="36" fillId="0" borderId="139" xfId="0" quotePrefix="1" applyFont="1" applyBorder="1" applyAlignment="1">
      <alignment horizontal="center" wrapText="1"/>
    </xf>
    <xf numFmtId="0" fontId="36" fillId="0" borderId="191" xfId="0" applyFont="1" applyBorder="1" applyAlignment="1">
      <alignment horizontal="center" wrapText="1"/>
    </xf>
    <xf numFmtId="0" fontId="36" fillId="0" borderId="139" xfId="0" quotePrefix="1" applyFont="1" applyBorder="1" applyAlignment="1">
      <alignment wrapText="1"/>
    </xf>
    <xf numFmtId="165" fontId="36" fillId="0" borderId="192" xfId="11" applyNumberFormat="1" applyFont="1" applyFill="1" applyBorder="1" applyAlignment="1">
      <alignment horizontal="center" wrapText="1"/>
    </xf>
    <xf numFmtId="0" fontId="36" fillId="0" borderId="139" xfId="0" applyFont="1" applyBorder="1" applyAlignment="1">
      <alignment readingOrder="1"/>
    </xf>
    <xf numFmtId="0" fontId="35" fillId="0" borderId="139" xfId="0" applyFont="1" applyBorder="1" applyAlignment="1">
      <alignment wrapText="1" readingOrder="1"/>
    </xf>
    <xf numFmtId="43" fontId="58" fillId="0" borderId="139" xfId="0" applyNumberFormat="1" applyFont="1" applyBorder="1" applyAlignment="1">
      <alignment horizontal="center" wrapText="1"/>
    </xf>
    <xf numFmtId="165" fontId="35" fillId="0" borderId="192" xfId="0" applyNumberFormat="1" applyFont="1" applyBorder="1" applyAlignment="1">
      <alignment horizontal="center" wrapText="1"/>
    </xf>
    <xf numFmtId="0" fontId="36" fillId="0" borderId="139" xfId="0" applyFont="1" applyFill="1" applyBorder="1" applyAlignment="1">
      <alignment horizontal="left" wrapText="1"/>
    </xf>
    <xf numFmtId="0" fontId="36" fillId="0" borderId="139" xfId="0" quotePrefix="1" applyFont="1" applyBorder="1" applyAlignment="1">
      <alignment wrapText="1" readingOrder="1"/>
    </xf>
    <xf numFmtId="0" fontId="46" fillId="0" borderId="18" xfId="0" quotePrefix="1" applyFont="1" applyFill="1" applyBorder="1" applyAlignment="1">
      <alignment horizontal="center" vertical="top" wrapText="1"/>
    </xf>
    <xf numFmtId="41" fontId="17" fillId="0" borderId="18" xfId="2" applyFont="1" applyFill="1" applyBorder="1" applyAlignment="1">
      <alignment horizontal="center"/>
    </xf>
    <xf numFmtId="0" fontId="36" fillId="0" borderId="69" xfId="0" applyFont="1" applyBorder="1" applyAlignment="1">
      <alignment horizontal="center" wrapText="1"/>
    </xf>
    <xf numFmtId="0" fontId="35" fillId="0" borderId="17" xfId="0" applyFont="1" applyBorder="1" applyAlignment="1">
      <alignment horizontal="left" wrapText="1" readingOrder="1"/>
    </xf>
    <xf numFmtId="165" fontId="36" fillId="0" borderId="18" xfId="0" applyNumberFormat="1" applyFont="1" applyFill="1" applyBorder="1" applyAlignment="1">
      <alignment horizontal="center" wrapText="1"/>
    </xf>
    <xf numFmtId="165" fontId="35" fillId="0" borderId="87" xfId="0" applyNumberFormat="1" applyFont="1" applyFill="1" applyBorder="1" applyAlignment="1">
      <alignment horizontal="center" wrapText="1"/>
    </xf>
    <xf numFmtId="0" fontId="36" fillId="0" borderId="69" xfId="0" quotePrefix="1" applyFont="1" applyBorder="1" applyAlignment="1">
      <alignment horizontal="center" wrapText="1"/>
    </xf>
    <xf numFmtId="0" fontId="36" fillId="0" borderId="17" xfId="0" applyFont="1" applyBorder="1" applyAlignment="1">
      <alignment horizontal="left" wrapText="1" readingOrder="1"/>
    </xf>
    <xf numFmtId="0" fontId="36" fillId="0" borderId="58" xfId="0" applyFont="1" applyBorder="1" applyAlignment="1">
      <alignment vertical="center" wrapText="1"/>
    </xf>
    <xf numFmtId="0" fontId="36" fillId="0" borderId="139" xfId="0" quotePrefix="1" applyFont="1" applyBorder="1" applyAlignment="1">
      <alignment vertical="center" wrapText="1" readingOrder="1"/>
    </xf>
    <xf numFmtId="0" fontId="36" fillId="0" borderId="139" xfId="0" applyNumberFormat="1" applyFont="1" applyFill="1" applyBorder="1" applyAlignment="1">
      <alignment horizontal="center" vertical="center" wrapText="1" readingOrder="1"/>
    </xf>
    <xf numFmtId="43" fontId="36" fillId="0" borderId="139" xfId="0" applyNumberFormat="1" applyFont="1" applyFill="1" applyBorder="1" applyAlignment="1">
      <alignment horizontal="center" vertical="center" wrapText="1" readingOrder="1"/>
    </xf>
    <xf numFmtId="165" fontId="36" fillId="0" borderId="139" xfId="0" applyNumberFormat="1" applyFont="1" applyFill="1" applyBorder="1" applyAlignment="1">
      <alignment horizontal="center" vertical="center" wrapText="1" readingOrder="1"/>
    </xf>
    <xf numFmtId="165" fontId="36" fillId="0" borderId="192" xfId="0" applyNumberFormat="1" applyFont="1" applyFill="1" applyBorder="1" applyAlignment="1">
      <alignment horizontal="center" vertical="center" wrapText="1" readingOrder="1"/>
    </xf>
    <xf numFmtId="0" fontId="36" fillId="0" borderId="19" xfId="0" applyFont="1" applyBorder="1" applyAlignment="1">
      <alignment horizontal="center" vertical="center"/>
    </xf>
    <xf numFmtId="41" fontId="36" fillId="0" borderId="19" xfId="2" applyFont="1" applyBorder="1" applyAlignment="1">
      <alignment horizontal="center" vertical="center"/>
    </xf>
    <xf numFmtId="41" fontId="36" fillId="0" borderId="19" xfId="2" applyFont="1" applyBorder="1" applyAlignment="1">
      <alignment vertical="center"/>
    </xf>
    <xf numFmtId="0" fontId="71" fillId="0" borderId="237" xfId="0" quotePrefix="1" applyFont="1" applyFill="1" applyBorder="1" applyAlignment="1">
      <alignment vertical="center"/>
    </xf>
    <xf numFmtId="0" fontId="36" fillId="0" borderId="59" xfId="0" applyFont="1" applyBorder="1" applyAlignment="1">
      <alignment horizontal="center" vertical="center"/>
    </xf>
    <xf numFmtId="43" fontId="36" fillId="0" borderId="58" xfId="0" applyNumberFormat="1" applyFont="1" applyFill="1" applyBorder="1" applyAlignment="1">
      <alignment horizontal="center" vertical="center" wrapText="1"/>
    </xf>
    <xf numFmtId="41" fontId="71" fillId="0" borderId="58" xfId="2" applyFont="1" applyBorder="1" applyAlignment="1">
      <alignment horizontal="right" vertical="center"/>
    </xf>
    <xf numFmtId="165" fontId="36" fillId="0" borderId="238" xfId="0" applyNumberFormat="1" applyFont="1" applyFill="1" applyBorder="1" applyAlignment="1">
      <alignment horizontal="center" vertical="center" wrapText="1"/>
    </xf>
    <xf numFmtId="41" fontId="36" fillId="0" borderId="19" xfId="2" applyFont="1" applyBorder="1" applyAlignment="1">
      <alignment horizontal="center"/>
    </xf>
    <xf numFmtId="0" fontId="8" fillId="0" borderId="46" xfId="0" quotePrefix="1" applyFont="1" applyBorder="1" applyAlignment="1">
      <alignment readingOrder="1"/>
    </xf>
    <xf numFmtId="0" fontId="8" fillId="0" borderId="0" xfId="0" applyFont="1" applyBorder="1" applyAlignment="1">
      <alignment horizontal="center"/>
    </xf>
    <xf numFmtId="0" fontId="8" fillId="0" borderId="27" xfId="9" applyFont="1" applyBorder="1" applyAlignment="1">
      <alignment horizontal="center"/>
    </xf>
    <xf numFmtId="0" fontId="4" fillId="0" borderId="4" xfId="0" applyFont="1" applyBorder="1" applyAlignment="1">
      <alignment wrapText="1"/>
    </xf>
    <xf numFmtId="0" fontId="8" fillId="0" borderId="0" xfId="0" applyFont="1" applyBorder="1" applyAlignment="1">
      <alignment horizontal="center" wrapText="1"/>
    </xf>
    <xf numFmtId="0" fontId="4" fillId="0" borderId="122" xfId="0" applyFont="1" applyBorder="1" applyAlignment="1">
      <alignment horizontal="left" wrapText="1"/>
    </xf>
    <xf numFmtId="0" fontId="5" fillId="0" borderId="81" xfId="0" applyFont="1" applyBorder="1" applyAlignment="1">
      <alignment horizontal="center" wrapText="1"/>
    </xf>
    <xf numFmtId="0" fontId="4" fillId="0" borderId="4" xfId="0" applyFont="1" applyBorder="1" applyAlignment="1">
      <alignment vertical="center" wrapText="1"/>
    </xf>
    <xf numFmtId="42" fontId="8" fillId="0" borderId="0" xfId="14" applyFont="1" applyBorder="1" applyAlignment="1">
      <alignment horizontal="center" wrapText="1"/>
    </xf>
    <xf numFmtId="0" fontId="36" fillId="6" borderId="19" xfId="8" quotePrefix="1" applyFont="1" applyFill="1" applyBorder="1" applyAlignment="1">
      <alignment horizontal="left" wrapText="1"/>
    </xf>
    <xf numFmtId="0" fontId="8" fillId="0" borderId="19" xfId="8" applyFont="1" applyFill="1" applyBorder="1" applyAlignment="1">
      <alignment horizontal="left" wrapText="1"/>
    </xf>
    <xf numFmtId="0" fontId="8" fillId="6" borderId="18" xfId="8" applyNumberFormat="1" applyFont="1" applyFill="1" applyBorder="1" applyAlignment="1">
      <alignment horizontal="center" vertical="center" wrapText="1"/>
    </xf>
    <xf numFmtId="43" fontId="8" fillId="6" borderId="18" xfId="8" applyNumberFormat="1" applyFont="1" applyFill="1" applyBorder="1" applyAlignment="1">
      <alignment horizontal="center" wrapText="1"/>
    </xf>
    <xf numFmtId="165" fontId="8" fillId="6" borderId="19" xfId="8" applyNumberFormat="1" applyFont="1" applyFill="1" applyBorder="1" applyAlignment="1">
      <alignment horizontal="center" wrapText="1"/>
    </xf>
    <xf numFmtId="165" fontId="8" fillId="6" borderId="87" xfId="8" applyNumberFormat="1" applyFont="1" applyFill="1" applyBorder="1" applyAlignment="1">
      <alignment horizontal="center" wrapText="1"/>
    </xf>
    <xf numFmtId="43" fontId="8" fillId="6" borderId="19" xfId="1" quotePrefix="1" applyFont="1" applyFill="1" applyBorder="1" applyAlignment="1">
      <alignment horizontal="left" wrapText="1"/>
    </xf>
    <xf numFmtId="43" fontId="8" fillId="6" borderId="19" xfId="8" applyNumberFormat="1" applyFont="1" applyFill="1" applyBorder="1" applyAlignment="1">
      <alignment horizontal="center" wrapText="1"/>
    </xf>
    <xf numFmtId="165" fontId="8" fillId="6" borderId="139" xfId="8" applyNumberFormat="1" applyFont="1" applyFill="1" applyBorder="1" applyAlignment="1">
      <alignment horizontal="center" wrapText="1"/>
    </xf>
    <xf numFmtId="49" fontId="8" fillId="6" borderId="19" xfId="8" quotePrefix="1" applyNumberFormat="1" applyFont="1" applyFill="1" applyBorder="1" applyAlignment="1">
      <alignment horizontal="left" wrapText="1"/>
    </xf>
    <xf numFmtId="49" fontId="8" fillId="6" borderId="19" xfId="8" applyNumberFormat="1" applyFont="1" applyFill="1" applyBorder="1" applyAlignment="1">
      <alignment horizontal="left" wrapText="1"/>
    </xf>
    <xf numFmtId="165" fontId="8" fillId="6" borderId="17" xfId="8" applyNumberFormat="1" applyFont="1" applyFill="1" applyBorder="1" applyAlignment="1">
      <alignment horizontal="center" wrapText="1"/>
    </xf>
    <xf numFmtId="0" fontId="8" fillId="0" borderId="18" xfId="13" applyNumberFormat="1" applyFont="1" applyFill="1" applyBorder="1" applyAlignment="1">
      <alignment horizontal="center" vertical="center" wrapText="1"/>
    </xf>
    <xf numFmtId="41" fontId="8" fillId="0" borderId="0" xfId="13" applyFont="1" applyFill="1"/>
    <xf numFmtId="0" fontId="8" fillId="6" borderId="18" xfId="13" applyNumberFormat="1" applyFont="1" applyFill="1" applyBorder="1" applyAlignment="1">
      <alignment horizontal="center" vertical="center" wrapText="1"/>
    </xf>
    <xf numFmtId="165" fontId="8" fillId="0" borderId="97" xfId="0" applyNumberFormat="1" applyFont="1" applyBorder="1" applyAlignment="1">
      <alignment horizontal="center" wrapText="1"/>
    </xf>
    <xf numFmtId="0" fontId="8" fillId="6" borderId="19" xfId="0" applyFont="1" applyFill="1" applyBorder="1" applyAlignment="1">
      <alignment readingOrder="1"/>
    </xf>
    <xf numFmtId="165" fontId="8" fillId="6" borderId="97" xfId="0" applyNumberFormat="1" applyFont="1" applyFill="1" applyBorder="1" applyAlignment="1">
      <alignment horizontal="center" wrapText="1"/>
    </xf>
    <xf numFmtId="0" fontId="32" fillId="6" borderId="70" xfId="0" applyFont="1" applyFill="1" applyBorder="1" applyAlignment="1">
      <alignment readingOrder="1"/>
    </xf>
    <xf numFmtId="0" fontId="32" fillId="6" borderId="18" xfId="13" applyNumberFormat="1" applyFont="1" applyFill="1" applyBorder="1" applyAlignment="1">
      <alignment horizontal="center" vertical="center" wrapText="1"/>
    </xf>
    <xf numFmtId="43" fontId="32" fillId="6" borderId="18" xfId="0" applyNumberFormat="1" applyFont="1" applyFill="1" applyBorder="1" applyAlignment="1">
      <alignment horizontal="center" wrapText="1"/>
    </xf>
    <xf numFmtId="165" fontId="32" fillId="6" borderId="19" xfId="0" applyNumberFormat="1" applyFont="1" applyFill="1" applyBorder="1" applyAlignment="1">
      <alignment horizontal="center" wrapText="1"/>
    </xf>
    <xf numFmtId="165" fontId="32" fillId="6" borderId="97" xfId="0" applyNumberFormat="1" applyFont="1" applyFill="1" applyBorder="1" applyAlignment="1">
      <alignment horizontal="center" wrapText="1"/>
    </xf>
    <xf numFmtId="0" fontId="5" fillId="0" borderId="0" xfId="0" applyFont="1" applyAlignment="1">
      <alignment horizontal="right"/>
    </xf>
    <xf numFmtId="0" fontId="72" fillId="0" borderId="0" xfId="0" applyFont="1" applyFill="1" applyAlignment="1">
      <alignment horizontal="right"/>
    </xf>
    <xf numFmtId="43" fontId="5" fillId="0" borderId="0" xfId="1" applyFont="1"/>
    <xf numFmtId="43" fontId="73" fillId="0" borderId="0" xfId="0" applyNumberFormat="1" applyFont="1" applyFill="1" applyAlignment="1"/>
    <xf numFmtId="0" fontId="8" fillId="0" borderId="193" xfId="0" applyFont="1" applyBorder="1" applyAlignment="1">
      <alignment horizontal="left"/>
    </xf>
    <xf numFmtId="0" fontId="8" fillId="0" borderId="194" xfId="9" applyFont="1" applyBorder="1" applyAlignment="1"/>
    <xf numFmtId="0" fontId="8" fillId="0" borderId="186" xfId="9" applyFont="1" applyBorder="1" applyAlignment="1"/>
    <xf numFmtId="0" fontId="8" fillId="0" borderId="186" xfId="0" applyFont="1" applyBorder="1" applyAlignment="1">
      <alignment horizontal="center"/>
    </xf>
    <xf numFmtId="0" fontId="32" fillId="0" borderId="0" xfId="0" applyFont="1" applyFill="1"/>
    <xf numFmtId="0" fontId="8" fillId="0" borderId="84" xfId="0" applyFont="1" applyBorder="1" applyAlignment="1">
      <alignment horizontal="center" vertical="center" wrapText="1"/>
    </xf>
    <xf numFmtId="0" fontId="8" fillId="0" borderId="24" xfId="0" applyFont="1" applyBorder="1" applyAlignment="1">
      <alignment vertical="center" wrapText="1"/>
    </xf>
    <xf numFmtId="0" fontId="36" fillId="6" borderId="19" xfId="8" applyFont="1" applyFill="1" applyBorder="1" applyAlignment="1">
      <alignment horizontal="center" vertical="center" wrapText="1"/>
    </xf>
    <xf numFmtId="0" fontId="36" fillId="6" borderId="86" xfId="8" applyFont="1" applyFill="1" applyBorder="1" applyAlignment="1">
      <alignment horizontal="center" vertical="center" wrapText="1"/>
    </xf>
    <xf numFmtId="0" fontId="8" fillId="6" borderId="86" xfId="0" applyFont="1" applyFill="1" applyBorder="1" applyAlignment="1">
      <alignment horizontal="center" vertical="center" wrapText="1"/>
    </xf>
    <xf numFmtId="0" fontId="8" fillId="6" borderId="19" xfId="0" quotePrefix="1" applyFont="1" applyFill="1" applyBorder="1" applyAlignment="1">
      <alignment vertical="center" wrapText="1"/>
    </xf>
    <xf numFmtId="0" fontId="8" fillId="6" borderId="19"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8" fillId="0" borderId="19" xfId="0" quotePrefix="1" applyFont="1" applyFill="1" applyBorder="1" applyAlignment="1">
      <alignment vertical="center" wrapText="1"/>
    </xf>
    <xf numFmtId="0" fontId="8" fillId="0" borderId="19" xfId="0" applyFont="1" applyBorder="1" applyAlignment="1">
      <alignment vertical="center" wrapText="1"/>
    </xf>
    <xf numFmtId="0" fontId="8" fillId="0" borderId="24" xfId="0" quotePrefix="1" applyFont="1" applyBorder="1" applyAlignment="1">
      <alignment horizontal="center" vertical="center" wrapText="1"/>
    </xf>
    <xf numFmtId="0" fontId="36" fillId="0" borderId="24" xfId="8" applyFont="1" applyBorder="1" applyAlignment="1">
      <alignment horizontal="center" vertical="center" wrapText="1"/>
    </xf>
    <xf numFmtId="0" fontId="32" fillId="0" borderId="24" xfId="0" applyFont="1" applyBorder="1" applyAlignment="1">
      <alignment horizontal="center" vertical="center" wrapText="1"/>
    </xf>
    <xf numFmtId="0" fontId="32" fillId="0" borderId="19" xfId="0" quotePrefix="1" applyFont="1" applyBorder="1" applyAlignment="1">
      <alignment horizontal="center" vertical="center" wrapText="1"/>
    </xf>
    <xf numFmtId="0" fontId="36" fillId="6" borderId="19" xfId="8" quotePrefix="1" applyFont="1" applyFill="1" applyBorder="1" applyAlignment="1">
      <alignment horizontal="center" vertical="center" wrapText="1"/>
    </xf>
    <xf numFmtId="0" fontId="36" fillId="6" borderId="19" xfId="8" quotePrefix="1" applyFont="1" applyFill="1" applyBorder="1" applyAlignment="1">
      <alignment vertical="center" wrapText="1"/>
    </xf>
    <xf numFmtId="0" fontId="8" fillId="6" borderId="19" xfId="0" quotePrefix="1"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19" xfId="0" quotePrefix="1" applyFont="1" applyFill="1" applyBorder="1" applyAlignment="1">
      <alignment horizontal="center" vertical="center" wrapText="1"/>
    </xf>
    <xf numFmtId="0" fontId="8" fillId="0" borderId="19" xfId="0" quotePrefix="1" applyFont="1" applyFill="1" applyBorder="1" applyAlignment="1">
      <alignment horizontal="center" vertical="center" wrapText="1"/>
    </xf>
    <xf numFmtId="0" fontId="8" fillId="0" borderId="241" xfId="0" applyFont="1" applyBorder="1" applyAlignment="1">
      <alignment horizontal="center" vertical="center" wrapText="1"/>
    </xf>
    <xf numFmtId="0" fontId="8" fillId="0" borderId="212" xfId="0" applyFont="1" applyBorder="1" applyAlignment="1">
      <alignment horizontal="center" vertical="center" wrapText="1"/>
    </xf>
    <xf numFmtId="0" fontId="8" fillId="0" borderId="212" xfId="0" applyFont="1" applyBorder="1" applyAlignment="1">
      <alignment vertical="center" wrapText="1"/>
    </xf>
    <xf numFmtId="0" fontId="8" fillId="0" borderId="212" xfId="0" quotePrefix="1" applyFont="1" applyBorder="1" applyAlignment="1">
      <alignment horizontal="center" vertical="center" wrapText="1"/>
    </xf>
    <xf numFmtId="0" fontId="16" fillId="0" borderId="73" xfId="0" applyFont="1" applyFill="1" applyBorder="1" applyAlignment="1">
      <alignment vertical="center" wrapText="1" readingOrder="1"/>
    </xf>
    <xf numFmtId="0" fontId="8" fillId="0" borderId="18" xfId="11" applyNumberFormat="1" applyFont="1" applyFill="1" applyBorder="1" applyAlignment="1">
      <alignment horizontal="center" vertical="center" wrapText="1" readingOrder="1"/>
    </xf>
    <xf numFmtId="43" fontId="30" fillId="0" borderId="19" xfId="0" applyNumberFormat="1" applyFont="1" applyFill="1" applyBorder="1" applyAlignment="1">
      <alignment horizontal="center" vertical="center" wrapText="1" readingOrder="1"/>
    </xf>
    <xf numFmtId="43" fontId="30" fillId="0" borderId="17" xfId="0" applyNumberFormat="1" applyFont="1" applyFill="1" applyBorder="1" applyAlignment="1">
      <alignment horizontal="center" vertical="center" wrapText="1" readingOrder="1"/>
    </xf>
    <xf numFmtId="165" fontId="5" fillId="0" borderId="87" xfId="0" applyNumberFormat="1" applyFont="1" applyFill="1" applyBorder="1" applyAlignment="1">
      <alignment horizontal="center" vertical="center" wrapText="1" readingOrder="1"/>
    </xf>
    <xf numFmtId="0" fontId="35" fillId="6" borderId="19" xfId="8" applyFont="1" applyFill="1" applyBorder="1" applyAlignment="1">
      <alignment vertical="center" readingOrder="1"/>
    </xf>
    <xf numFmtId="43" fontId="36" fillId="6" borderId="19" xfId="8" applyNumberFormat="1" applyFont="1" applyFill="1" applyBorder="1" applyAlignment="1">
      <alignment horizontal="center" vertical="center" wrapText="1"/>
    </xf>
    <xf numFmtId="43" fontId="36" fillId="6" borderId="17" xfId="8" applyNumberFormat="1" applyFont="1" applyFill="1" applyBorder="1" applyAlignment="1">
      <alignment horizontal="center" vertical="center" wrapText="1"/>
    </xf>
    <xf numFmtId="165" fontId="35" fillId="6" borderId="87" xfId="8" applyNumberFormat="1" applyFont="1" applyFill="1" applyBorder="1" applyAlignment="1">
      <alignment horizontal="center" vertical="center" wrapText="1"/>
    </xf>
    <xf numFmtId="0" fontId="35" fillId="6" borderId="73" xfId="8" applyFont="1" applyFill="1" applyBorder="1" applyAlignment="1">
      <alignment vertical="center" wrapText="1" readingOrder="1"/>
    </xf>
    <xf numFmtId="43" fontId="58" fillId="6" borderId="19" xfId="8" applyNumberFormat="1" applyFont="1" applyFill="1" applyBorder="1" applyAlignment="1">
      <alignment horizontal="center" vertical="center" wrapText="1"/>
    </xf>
    <xf numFmtId="43" fontId="58" fillId="6" borderId="17" xfId="8" applyNumberFormat="1" applyFont="1" applyFill="1" applyBorder="1" applyAlignment="1">
      <alignment horizontal="center" vertical="center" wrapText="1"/>
    </xf>
    <xf numFmtId="0" fontId="36" fillId="6" borderId="19" xfId="8" applyFont="1" applyFill="1" applyBorder="1" applyAlignment="1">
      <alignment horizontal="left" vertical="center" wrapText="1"/>
    </xf>
    <xf numFmtId="0" fontId="16" fillId="0" borderId="19" xfId="0" applyFont="1" applyFill="1" applyBorder="1" applyAlignment="1">
      <alignment vertical="center" readingOrder="1"/>
    </xf>
    <xf numFmtId="43" fontId="8" fillId="0" borderId="19" xfId="0" applyNumberFormat="1" applyFont="1" applyFill="1" applyBorder="1" applyAlignment="1">
      <alignment horizontal="center" vertical="center" wrapText="1"/>
    </xf>
    <xf numFmtId="43" fontId="30" fillId="0" borderId="19" xfId="0" applyNumberFormat="1" applyFont="1" applyFill="1" applyBorder="1" applyAlignment="1">
      <alignment horizontal="center" vertical="center" wrapText="1"/>
    </xf>
    <xf numFmtId="43" fontId="30" fillId="0" borderId="17" xfId="0" applyNumberFormat="1" applyFont="1" applyFill="1" applyBorder="1" applyAlignment="1">
      <alignment horizontal="center" vertical="center" wrapText="1"/>
    </xf>
    <xf numFmtId="0" fontId="8" fillId="0" borderId="70" xfId="0" applyFont="1" applyFill="1" applyBorder="1" applyAlignment="1">
      <alignment vertical="center" wrapText="1" readingOrder="1"/>
    </xf>
    <xf numFmtId="165" fontId="8" fillId="0" borderId="97" xfId="0" applyNumberFormat="1" applyFont="1" applyFill="1" applyBorder="1" applyAlignment="1">
      <alignment horizontal="center" vertical="center" wrapText="1"/>
    </xf>
    <xf numFmtId="0" fontId="8" fillId="0" borderId="19" xfId="0" applyFont="1" applyFill="1" applyBorder="1" applyAlignment="1">
      <alignment horizontal="left" vertical="center" wrapText="1" readingOrder="1"/>
    </xf>
    <xf numFmtId="0" fontId="5" fillId="0" borderId="73"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8" fillId="6" borderId="73" xfId="0" quotePrefix="1" applyFont="1" applyFill="1" applyBorder="1" applyAlignment="1">
      <alignment horizontal="left" vertical="center" wrapText="1"/>
    </xf>
    <xf numFmtId="43" fontId="8" fillId="0" borderId="75" xfId="0" applyNumberFormat="1" applyFont="1" applyBorder="1" applyAlignment="1">
      <alignment horizontal="center" vertical="center" wrapText="1"/>
    </xf>
    <xf numFmtId="165" fontId="8" fillId="0" borderId="73" xfId="0" applyNumberFormat="1" applyFont="1" applyBorder="1" applyAlignment="1">
      <alignment horizontal="center" vertical="center" wrapText="1"/>
    </xf>
    <xf numFmtId="165" fontId="8" fillId="6" borderId="19" xfId="11" applyNumberFormat="1" applyFont="1" applyFill="1" applyBorder="1" applyAlignment="1">
      <alignment horizontal="center" vertical="center" wrapText="1"/>
    </xf>
    <xf numFmtId="41" fontId="5" fillId="0" borderId="97" xfId="0" applyNumberFormat="1" applyFont="1" applyBorder="1" applyAlignment="1">
      <alignment horizontal="right" wrapText="1"/>
    </xf>
    <xf numFmtId="0" fontId="8" fillId="0" borderId="188" xfId="0" applyFont="1" applyBorder="1"/>
    <xf numFmtId="41" fontId="5" fillId="0" borderId="97" xfId="2" applyNumberFormat="1" applyFont="1" applyBorder="1" applyAlignment="1">
      <alignment horizontal="center" wrapText="1"/>
    </xf>
    <xf numFmtId="41" fontId="8" fillId="0" borderId="97" xfId="2" applyNumberFormat="1" applyFont="1" applyBorder="1" applyAlignment="1">
      <alignment horizontal="center" vertical="center" wrapText="1"/>
    </xf>
    <xf numFmtId="41" fontId="8" fillId="0" borderId="97" xfId="2" applyNumberFormat="1" applyFont="1" applyBorder="1" applyAlignment="1">
      <alignment horizontal="center" wrapText="1"/>
    </xf>
    <xf numFmtId="41" fontId="8" fillId="0" borderId="97" xfId="0" applyNumberFormat="1" applyFont="1" applyBorder="1" applyAlignment="1">
      <alignment horizontal="right" wrapText="1"/>
    </xf>
    <xf numFmtId="41" fontId="8" fillId="0" borderId="97" xfId="0" applyNumberFormat="1" applyFont="1" applyBorder="1" applyAlignment="1">
      <alignment horizontal="right" vertical="top" wrapText="1"/>
    </xf>
    <xf numFmtId="41" fontId="5" fillId="0" borderId="97" xfId="0" applyNumberFormat="1" applyFont="1" applyBorder="1" applyAlignment="1">
      <alignment horizontal="right" vertical="top" wrapText="1"/>
    </xf>
    <xf numFmtId="41" fontId="5" fillId="0" borderId="94" xfId="2" applyFont="1" applyBorder="1" applyAlignment="1">
      <alignment horizontal="center" vertical="center" wrapText="1"/>
    </xf>
    <xf numFmtId="165" fontId="5" fillId="0" borderId="94" xfId="0" applyNumberFormat="1" applyFont="1" applyBorder="1" applyAlignment="1">
      <alignment horizontal="center" vertical="center" wrapText="1"/>
    </xf>
    <xf numFmtId="165" fontId="5" fillId="0" borderId="213" xfId="0" applyNumberFormat="1" applyFont="1" applyBorder="1" applyAlignment="1">
      <alignment horizontal="center" vertical="center" wrapText="1"/>
    </xf>
    <xf numFmtId="41" fontId="5" fillId="0" borderId="193" xfId="0" applyNumberFormat="1" applyFont="1" applyBorder="1" applyAlignment="1">
      <alignment horizontal="center" vertical="center" wrapText="1"/>
    </xf>
    <xf numFmtId="165" fontId="5" fillId="0" borderId="193" xfId="0" applyNumberFormat="1" applyFont="1" applyBorder="1" applyAlignment="1">
      <alignment horizontal="center" vertical="center" wrapText="1"/>
    </xf>
    <xf numFmtId="0" fontId="36" fillId="11" borderId="0" xfId="8" applyFont="1" applyFill="1"/>
    <xf numFmtId="0" fontId="8" fillId="11" borderId="0" xfId="0" applyFont="1" applyFill="1"/>
    <xf numFmtId="0" fontId="8" fillId="11" borderId="0" xfId="0" applyFont="1" applyFill="1" applyBorder="1"/>
    <xf numFmtId="0" fontId="60" fillId="11" borderId="0" xfId="0" applyFont="1" applyFill="1"/>
    <xf numFmtId="0" fontId="32" fillId="11" borderId="0" xfId="0" applyFont="1" applyFill="1" applyBorder="1"/>
    <xf numFmtId="0" fontId="60" fillId="11" borderId="0" xfId="0" quotePrefix="1" applyFont="1" applyFill="1"/>
    <xf numFmtId="165" fontId="8" fillId="11" borderId="0" xfId="0" applyNumberFormat="1" applyFont="1" applyFill="1"/>
    <xf numFmtId="165" fontId="8" fillId="0" borderId="18" xfId="0" applyNumberFormat="1" applyFont="1" applyFill="1" applyBorder="1" applyAlignment="1">
      <alignment horizontal="center" vertical="center" wrapText="1"/>
    </xf>
    <xf numFmtId="165" fontId="8" fillId="0" borderId="18" xfId="0" applyNumberFormat="1" applyFont="1" applyFill="1" applyBorder="1" applyAlignment="1">
      <alignment horizontal="center" wrapText="1"/>
    </xf>
    <xf numFmtId="0" fontId="8" fillId="0" borderId="16" xfId="0" applyFont="1" applyBorder="1" applyAlignment="1">
      <alignment horizontal="center" wrapText="1"/>
    </xf>
    <xf numFmtId="0" fontId="5" fillId="0" borderId="73" xfId="0" applyFont="1" applyBorder="1" applyAlignment="1">
      <alignment vertical="center"/>
    </xf>
    <xf numFmtId="165" fontId="5" fillId="0" borderId="18" xfId="0" applyNumberFormat="1" applyFont="1" applyFill="1" applyBorder="1" applyAlignment="1">
      <alignment horizontal="center" vertical="center" wrapText="1"/>
    </xf>
    <xf numFmtId="43" fontId="5" fillId="0" borderId="18"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0" fontId="1" fillId="0" borderId="0" xfId="0" quotePrefix="1" applyFont="1" applyFill="1" applyBorder="1" applyAlignment="1">
      <alignment vertical="center"/>
    </xf>
    <xf numFmtId="0" fontId="8" fillId="0" borderId="57" xfId="0" applyFont="1" applyBorder="1" applyAlignment="1">
      <alignment horizontal="center" vertical="center"/>
    </xf>
    <xf numFmtId="43" fontId="8" fillId="0" borderId="57" xfId="0" applyNumberFormat="1" applyFont="1" applyFill="1" applyBorder="1" applyAlignment="1">
      <alignment horizontal="center" vertical="center" wrapText="1"/>
    </xf>
    <xf numFmtId="165" fontId="8" fillId="0" borderId="74" xfId="0" applyNumberFormat="1" applyFont="1" applyFill="1" applyBorder="1" applyAlignment="1">
      <alignment horizontal="center" vertical="center" wrapText="1"/>
    </xf>
    <xf numFmtId="165" fontId="8" fillId="0" borderId="81" xfId="0" applyNumberFormat="1" applyFont="1" applyFill="1" applyBorder="1" applyAlignment="1">
      <alignment horizontal="center" vertical="center" wrapText="1"/>
    </xf>
    <xf numFmtId="165" fontId="5" fillId="6" borderId="87" xfId="0" applyNumberFormat="1" applyFont="1" applyFill="1" applyBorder="1" applyAlignment="1">
      <alignment horizontal="center" vertical="center" wrapText="1"/>
    </xf>
    <xf numFmtId="0" fontId="1" fillId="0" borderId="63" xfId="0" applyFont="1" applyBorder="1" applyAlignment="1">
      <alignment horizontal="left" vertical="center" wrapText="1"/>
    </xf>
    <xf numFmtId="0" fontId="1" fillId="0" borderId="74" xfId="0" applyFont="1" applyBorder="1" applyAlignment="1">
      <alignment horizontal="center" vertical="center"/>
    </xf>
    <xf numFmtId="0" fontId="1" fillId="0" borderId="199" xfId="0" applyFont="1" applyFill="1" applyBorder="1" applyAlignment="1">
      <alignment vertical="top" wrapText="1"/>
    </xf>
    <xf numFmtId="0" fontId="0" fillId="0" borderId="18" xfId="0" applyBorder="1" applyAlignment="1">
      <alignment horizontal="center" vertical="center"/>
    </xf>
    <xf numFmtId="0" fontId="1" fillId="0" borderId="19" xfId="0" applyFont="1" applyBorder="1" applyAlignment="1">
      <alignment horizontal="center" vertical="center"/>
    </xf>
    <xf numFmtId="41" fontId="0" fillId="0" borderId="19" xfId="2" applyFont="1" applyBorder="1" applyAlignment="1">
      <alignment horizontal="right" vertical="center"/>
    </xf>
    <xf numFmtId="165" fontId="8" fillId="6" borderId="57" xfId="0" applyNumberFormat="1" applyFont="1" applyFill="1" applyBorder="1" applyAlignment="1">
      <alignment horizontal="center" wrapText="1"/>
    </xf>
    <xf numFmtId="43" fontId="8" fillId="6" borderId="57" xfId="0" applyNumberFormat="1" applyFont="1" applyFill="1" applyBorder="1" applyAlignment="1">
      <alignment horizontal="center" wrapText="1"/>
    </xf>
    <xf numFmtId="165" fontId="5" fillId="6" borderId="99" xfId="0" applyNumberFormat="1" applyFont="1" applyFill="1" applyBorder="1" applyAlignment="1">
      <alignment horizontal="center" vertical="center" wrapText="1"/>
    </xf>
    <xf numFmtId="0" fontId="36" fillId="6" borderId="199" xfId="0" applyFont="1" applyFill="1" applyBorder="1" applyAlignment="1">
      <alignment wrapText="1" readingOrder="1"/>
    </xf>
    <xf numFmtId="43" fontId="8" fillId="0" borderId="0" xfId="1" quotePrefix="1" applyFont="1"/>
    <xf numFmtId="43" fontId="32" fillId="0" borderId="0" xfId="0" quotePrefix="1" applyNumberFormat="1" applyFont="1"/>
    <xf numFmtId="0" fontId="8" fillId="0" borderId="0" xfId="0" applyFont="1" applyBorder="1" applyAlignment="1">
      <alignment horizontal="center"/>
    </xf>
    <xf numFmtId="42" fontId="8" fillId="0" borderId="0" xfId="14" applyFont="1" applyBorder="1" applyAlignment="1">
      <alignment horizontal="center" wrapText="1"/>
    </xf>
    <xf numFmtId="0" fontId="36" fillId="6" borderId="139" xfId="8" applyNumberFormat="1" applyFont="1" applyFill="1" applyBorder="1" applyAlignment="1">
      <alignment horizontal="center" vertical="center" wrapText="1"/>
    </xf>
    <xf numFmtId="0" fontId="36" fillId="6" borderId="19" xfId="8" quotePrefix="1" applyFont="1" applyFill="1" applyBorder="1" applyAlignment="1">
      <alignment horizontal="center" wrapText="1"/>
    </xf>
    <xf numFmtId="43" fontId="36" fillId="6" borderId="19" xfId="1" quotePrefix="1" applyFont="1" applyFill="1" applyBorder="1" applyAlignment="1">
      <alignment horizontal="left" wrapText="1"/>
    </xf>
    <xf numFmtId="49" fontId="36" fillId="6" borderId="19" xfId="8" applyNumberFormat="1" applyFont="1" applyFill="1" applyBorder="1" applyAlignment="1">
      <alignment horizontal="left" vertical="center" wrapText="1"/>
    </xf>
    <xf numFmtId="0" fontId="36" fillId="6" borderId="86" xfId="0" applyFont="1" applyFill="1" applyBorder="1" applyAlignment="1">
      <alignment horizontal="center" vertical="center" wrapText="1"/>
    </xf>
    <xf numFmtId="0" fontId="36" fillId="6" borderId="17" xfId="0" quotePrefix="1" applyFont="1" applyFill="1" applyBorder="1" applyAlignment="1">
      <alignment horizontal="center" vertical="center" wrapText="1"/>
    </xf>
    <xf numFmtId="0" fontId="36" fillId="6" borderId="17" xfId="0" quotePrefix="1" applyFont="1" applyFill="1" applyBorder="1" applyAlignment="1">
      <alignment vertical="center" wrapText="1"/>
    </xf>
    <xf numFmtId="0" fontId="36" fillId="6" borderId="17" xfId="0" applyFont="1" applyFill="1" applyBorder="1" applyAlignment="1">
      <alignment horizontal="center" vertical="center" wrapText="1"/>
    </xf>
    <xf numFmtId="0" fontId="36" fillId="6" borderId="18" xfId="0" applyFont="1" applyFill="1" applyBorder="1" applyAlignment="1">
      <alignment horizontal="center" vertical="center"/>
    </xf>
    <xf numFmtId="43" fontId="36" fillId="6" borderId="18" xfId="0" applyNumberFormat="1" applyFont="1" applyFill="1" applyBorder="1" applyAlignment="1">
      <alignment horizontal="center" vertical="center" wrapText="1"/>
    </xf>
    <xf numFmtId="165" fontId="36" fillId="6" borderId="19" xfId="0" applyNumberFormat="1" applyFont="1" applyFill="1" applyBorder="1" applyAlignment="1">
      <alignment horizontal="center" vertical="center" wrapText="1"/>
    </xf>
    <xf numFmtId="0" fontId="36" fillId="6" borderId="86" xfId="0" applyFont="1" applyFill="1" applyBorder="1" applyAlignment="1">
      <alignment horizontal="center" wrapText="1"/>
    </xf>
    <xf numFmtId="0" fontId="36" fillId="6" borderId="17" xfId="0" quotePrefix="1" applyFont="1" applyFill="1" applyBorder="1" applyAlignment="1">
      <alignment horizontal="center" wrapText="1"/>
    </xf>
    <xf numFmtId="0" fontId="36" fillId="6" borderId="17" xfId="0" applyFont="1" applyFill="1" applyBorder="1" applyAlignment="1">
      <alignment horizontal="center" wrapText="1"/>
    </xf>
    <xf numFmtId="0" fontId="36" fillId="6" borderId="139" xfId="0" quotePrefix="1" applyFont="1" applyFill="1" applyBorder="1" applyAlignment="1">
      <alignment horizontal="left" wrapText="1"/>
    </xf>
    <xf numFmtId="0" fontId="36" fillId="6" borderId="139" xfId="0" quotePrefix="1" applyFont="1" applyFill="1" applyBorder="1" applyAlignment="1">
      <alignment horizontal="left" vertical="center" wrapText="1"/>
    </xf>
    <xf numFmtId="0" fontId="36" fillId="6" borderId="69" xfId="0" quotePrefix="1" applyFont="1" applyFill="1" applyBorder="1" applyAlignment="1">
      <alignment horizontal="left" vertical="center" wrapText="1"/>
    </xf>
    <xf numFmtId="0" fontId="36" fillId="6" borderId="57" xfId="8" applyNumberFormat="1" applyFont="1" applyFill="1" applyBorder="1" applyAlignment="1">
      <alignment horizontal="center" vertical="center" wrapText="1"/>
    </xf>
    <xf numFmtId="43" fontId="36" fillId="6" borderId="57" xfId="8" applyNumberFormat="1" applyFont="1" applyFill="1" applyBorder="1" applyAlignment="1">
      <alignment horizontal="center" vertical="center" wrapText="1"/>
    </xf>
    <xf numFmtId="165" fontId="36" fillId="6" borderId="74" xfId="8" applyNumberFormat="1" applyFont="1" applyFill="1" applyBorder="1" applyAlignment="1">
      <alignment horizontal="center" vertical="center" wrapText="1"/>
    </xf>
    <xf numFmtId="165" fontId="36" fillId="6" borderId="81" xfId="8" applyNumberFormat="1" applyFont="1" applyFill="1" applyBorder="1" applyAlignment="1">
      <alignment horizontal="center" vertical="center" wrapText="1"/>
    </xf>
    <xf numFmtId="0" fontId="8" fillId="6" borderId="191" xfId="0" applyFont="1" applyFill="1" applyBorder="1" applyAlignment="1">
      <alignment horizontal="center" wrapText="1"/>
    </xf>
    <xf numFmtId="0" fontId="8" fillId="6" borderId="139" xfId="0" quotePrefix="1" applyFont="1" applyFill="1" applyBorder="1" applyAlignment="1">
      <alignment horizontal="center" wrapText="1"/>
    </xf>
    <xf numFmtId="0" fontId="8" fillId="6" borderId="139" xfId="0" quotePrefix="1" applyFont="1" applyFill="1" applyBorder="1" applyAlignment="1">
      <alignment wrapText="1"/>
    </xf>
    <xf numFmtId="0" fontId="8" fillId="6" borderId="139" xfId="0" applyFont="1" applyFill="1" applyBorder="1" applyAlignment="1">
      <alignment horizontal="center" wrapText="1"/>
    </xf>
    <xf numFmtId="165" fontId="8" fillId="6" borderId="192" xfId="11" applyNumberFormat="1" applyFont="1" applyFill="1" applyBorder="1" applyAlignment="1">
      <alignment horizontal="center" wrapText="1"/>
    </xf>
    <xf numFmtId="0" fontId="32" fillId="6" borderId="139" xfId="0" applyFont="1" applyFill="1" applyBorder="1" applyAlignment="1">
      <alignment horizontal="center" wrapText="1"/>
    </xf>
    <xf numFmtId="0" fontId="8" fillId="6" borderId="139" xfId="0" quotePrefix="1" applyFont="1" applyFill="1" applyBorder="1" applyAlignment="1">
      <alignment readingOrder="1"/>
    </xf>
    <xf numFmtId="0" fontId="8" fillId="6" borderId="139" xfId="0" quotePrefix="1" applyFont="1" applyFill="1" applyBorder="1" applyAlignment="1">
      <alignment wrapText="1" readingOrder="1"/>
    </xf>
    <xf numFmtId="0" fontId="8" fillId="0" borderId="18" xfId="0" quotePrefix="1" applyFont="1" applyBorder="1" applyAlignment="1">
      <alignment wrapText="1"/>
    </xf>
    <xf numFmtId="43" fontId="8" fillId="0" borderId="57" xfId="0" applyNumberFormat="1" applyFont="1" applyFill="1" applyBorder="1" applyAlignment="1">
      <alignment horizontal="center" wrapText="1"/>
    </xf>
    <xf numFmtId="165" fontId="8" fillId="0" borderId="74" xfId="0" applyNumberFormat="1" applyFont="1" applyFill="1" applyBorder="1" applyAlignment="1">
      <alignment horizontal="center" wrapText="1"/>
    </xf>
    <xf numFmtId="0" fontId="8" fillId="0" borderId="46" xfId="0" quotePrefix="1" applyFont="1" applyBorder="1" applyAlignment="1">
      <alignment wrapText="1" readingOrder="1"/>
    </xf>
    <xf numFmtId="165" fontId="5" fillId="0" borderId="192" xfId="0" applyNumberFormat="1" applyFont="1" applyFill="1" applyBorder="1" applyAlignment="1">
      <alignment horizontal="center" vertical="center" wrapText="1"/>
    </xf>
    <xf numFmtId="0" fontId="8" fillId="6" borderId="57" xfId="0" applyNumberFormat="1" applyFont="1" applyFill="1" applyBorder="1" applyAlignment="1">
      <alignment horizontal="center" vertical="center" wrapText="1"/>
    </xf>
    <xf numFmtId="165" fontId="36" fillId="0" borderId="99" xfId="0" applyNumberFormat="1" applyFont="1" applyFill="1" applyBorder="1" applyAlignment="1">
      <alignment horizontal="center" vertical="center" wrapText="1"/>
    </xf>
    <xf numFmtId="0" fontId="46" fillId="0" borderId="0" xfId="0" quotePrefix="1" applyFont="1" applyAlignment="1">
      <alignment wrapText="1"/>
    </xf>
    <xf numFmtId="0" fontId="46" fillId="0" borderId="19" xfId="0" quotePrefix="1" applyFont="1" applyBorder="1" applyAlignment="1">
      <alignment wrapText="1"/>
    </xf>
    <xf numFmtId="0" fontId="17" fillId="0" borderId="139" xfId="0" applyFont="1" applyFill="1" applyBorder="1" applyAlignment="1">
      <alignment vertical="center" wrapText="1" readingOrder="1"/>
    </xf>
    <xf numFmtId="0" fontId="16" fillId="0" borderId="65" xfId="0" applyFont="1" applyFill="1" applyBorder="1" applyAlignment="1">
      <alignment wrapText="1" readingOrder="1"/>
    </xf>
    <xf numFmtId="0" fontId="0" fillId="0" borderId="19" xfId="0" applyBorder="1" applyAlignment="1">
      <alignment horizontal="center" vertical="center"/>
    </xf>
    <xf numFmtId="0" fontId="1" fillId="0" borderId="63" xfId="0" quotePrefix="1" applyFont="1" applyBorder="1" applyAlignment="1">
      <alignment horizontal="left" vertical="center"/>
    </xf>
    <xf numFmtId="49" fontId="36" fillId="6" borderId="139" xfId="8" quotePrefix="1" applyNumberFormat="1" applyFont="1" applyFill="1" applyBorder="1" applyAlignment="1">
      <alignment horizontal="left" wrapText="1"/>
    </xf>
    <xf numFmtId="49" fontId="36" fillId="6" borderId="74" xfId="8" quotePrefix="1" applyNumberFormat="1" applyFont="1" applyFill="1" applyBorder="1" applyAlignment="1">
      <alignment horizontal="left" wrapText="1"/>
    </xf>
    <xf numFmtId="0" fontId="36" fillId="0" borderId="204" xfId="11" applyNumberFormat="1" applyFont="1" applyFill="1" applyBorder="1" applyAlignment="1">
      <alignment horizontal="center" vertical="center" wrapText="1"/>
    </xf>
    <xf numFmtId="43" fontId="36" fillId="0" borderId="204" xfId="8" applyNumberFormat="1" applyFont="1" applyFill="1" applyBorder="1" applyAlignment="1">
      <alignment horizontal="center" wrapText="1"/>
    </xf>
    <xf numFmtId="165" fontId="36" fillId="0" borderId="204" xfId="8" applyNumberFormat="1" applyFont="1" applyFill="1" applyBorder="1" applyAlignment="1">
      <alignment horizontal="center" wrapText="1"/>
    </xf>
    <xf numFmtId="0" fontId="36" fillId="0" borderId="205" xfId="11" applyNumberFormat="1" applyFont="1" applyFill="1" applyBorder="1" applyAlignment="1">
      <alignment horizontal="center" vertical="center" wrapText="1"/>
    </xf>
    <xf numFmtId="43" fontId="36" fillId="0" borderId="205" xfId="8" applyNumberFormat="1" applyFont="1" applyFill="1" applyBorder="1" applyAlignment="1">
      <alignment horizontal="center" wrapText="1"/>
    </xf>
    <xf numFmtId="165" fontId="36" fillId="0" borderId="205" xfId="8" applyNumberFormat="1" applyFont="1" applyFill="1" applyBorder="1" applyAlignment="1">
      <alignment horizontal="center" wrapText="1"/>
    </xf>
    <xf numFmtId="0" fontId="36" fillId="0" borderId="19" xfId="8" applyNumberFormat="1" applyFont="1" applyFill="1" applyBorder="1" applyAlignment="1">
      <alignment horizontal="center" vertical="center" wrapText="1"/>
    </xf>
    <xf numFmtId="165" fontId="36" fillId="0" borderId="17" xfId="11" applyNumberFormat="1" applyFont="1" applyFill="1" applyBorder="1" applyAlignment="1">
      <alignment horizontal="center" vertical="center" wrapText="1"/>
    </xf>
    <xf numFmtId="165" fontId="36" fillId="0" borderId="99" xfId="11" applyNumberFormat="1" applyFont="1" applyFill="1" applyBorder="1" applyAlignment="1">
      <alignment horizontal="center" vertical="center" wrapText="1"/>
    </xf>
    <xf numFmtId="165" fontId="36" fillId="0" borderId="18" xfId="11" applyNumberFormat="1" applyFont="1" applyFill="1" applyBorder="1" applyAlignment="1">
      <alignment horizontal="center" vertical="center" wrapText="1"/>
    </xf>
    <xf numFmtId="165" fontId="36" fillId="0" borderId="97" xfId="11" applyNumberFormat="1" applyFont="1" applyFill="1" applyBorder="1" applyAlignment="1">
      <alignment horizontal="center" vertical="center" wrapText="1"/>
    </xf>
    <xf numFmtId="0" fontId="36" fillId="6" borderId="19" xfId="8" quotePrefix="1" applyFont="1" applyFill="1" applyBorder="1" applyAlignment="1">
      <alignment readingOrder="1"/>
    </xf>
    <xf numFmtId="165" fontId="36" fillId="6" borderId="18" xfId="11" applyNumberFormat="1" applyFont="1" applyFill="1" applyBorder="1" applyAlignment="1">
      <alignment horizontal="center" vertical="center" wrapText="1"/>
    </xf>
    <xf numFmtId="165" fontId="36" fillId="6" borderId="97" xfId="8" applyNumberFormat="1" applyFont="1" applyFill="1" applyBorder="1" applyAlignment="1">
      <alignment horizontal="center" wrapText="1"/>
    </xf>
    <xf numFmtId="43" fontId="8" fillId="0" borderId="74" xfId="0" applyNumberFormat="1" applyFont="1" applyFill="1" applyBorder="1" applyAlignment="1">
      <alignment horizontal="center" wrapText="1"/>
    </xf>
    <xf numFmtId="165" fontId="8" fillId="0" borderId="69" xfId="0" applyNumberFormat="1" applyFont="1" applyFill="1" applyBorder="1" applyAlignment="1">
      <alignment horizontal="center" wrapText="1"/>
    </xf>
    <xf numFmtId="165" fontId="8" fillId="0" borderId="81" xfId="0" applyNumberFormat="1" applyFont="1" applyFill="1" applyBorder="1" applyAlignment="1">
      <alignment horizontal="center" wrapText="1"/>
    </xf>
    <xf numFmtId="0" fontId="25" fillId="0" borderId="0" xfId="0" applyFont="1" applyFill="1" applyBorder="1" applyAlignment="1">
      <alignment horizontal="left"/>
    </xf>
    <xf numFmtId="0" fontId="51" fillId="0" borderId="0" xfId="0" applyFont="1" applyFill="1" applyBorder="1" applyAlignment="1">
      <alignment horizontal="center"/>
    </xf>
    <xf numFmtId="0" fontId="54" fillId="0" borderId="0" xfId="0" applyFont="1" applyFill="1" applyBorder="1" applyAlignment="1">
      <alignment horizontal="center"/>
    </xf>
    <xf numFmtId="0" fontId="8" fillId="0" borderId="57" xfId="0" quotePrefix="1" applyFont="1" applyFill="1" applyBorder="1" applyAlignment="1">
      <alignment horizontal="left" vertical="center" wrapText="1"/>
    </xf>
    <xf numFmtId="0" fontId="36" fillId="0" borderId="57" xfId="8" applyNumberFormat="1" applyFont="1" applyFill="1" applyBorder="1" applyAlignment="1">
      <alignment horizontal="center" vertical="center" wrapText="1"/>
    </xf>
    <xf numFmtId="43" fontId="36" fillId="0" borderId="57" xfId="8" applyNumberFormat="1" applyFont="1" applyFill="1" applyBorder="1" applyAlignment="1">
      <alignment horizontal="center" vertical="center" wrapText="1"/>
    </xf>
    <xf numFmtId="165" fontId="36" fillId="6" borderId="57" xfId="8" applyNumberFormat="1" applyFont="1" applyFill="1" applyBorder="1" applyAlignment="1">
      <alignment horizontal="center" vertical="center" wrapText="1"/>
    </xf>
    <xf numFmtId="165" fontId="36" fillId="0" borderId="57" xfId="8" applyNumberFormat="1" applyFont="1" applyFill="1" applyBorder="1" applyAlignment="1">
      <alignment horizontal="center" vertical="center" wrapText="1"/>
    </xf>
    <xf numFmtId="3" fontId="36" fillId="0" borderId="139" xfId="1" applyNumberFormat="1" applyFont="1" applyFill="1" applyBorder="1" applyAlignment="1">
      <alignment horizontal="center" vertical="center" wrapText="1"/>
    </xf>
    <xf numFmtId="0" fontId="8" fillId="0" borderId="18" xfId="0" quotePrefix="1" applyFont="1" applyBorder="1" applyAlignment="1">
      <alignment readingOrder="1"/>
    </xf>
    <xf numFmtId="0" fontId="8" fillId="0" borderId="57" xfId="13" applyNumberFormat="1" applyFont="1" applyBorder="1" applyAlignment="1">
      <alignment horizontal="center" vertical="center" wrapText="1"/>
    </xf>
    <xf numFmtId="43" fontId="8" fillId="0" borderId="57" xfId="0" applyNumberFormat="1" applyFont="1" applyBorder="1" applyAlignment="1">
      <alignment horizontal="center" wrapText="1"/>
    </xf>
    <xf numFmtId="165" fontId="8" fillId="0" borderId="74" xfId="0" applyNumberFormat="1" applyFont="1" applyBorder="1" applyAlignment="1">
      <alignment horizontal="center" wrapText="1"/>
    </xf>
    <xf numFmtId="3" fontId="8" fillId="0" borderId="75" xfId="1" applyNumberFormat="1" applyFont="1" applyBorder="1" applyAlignment="1">
      <alignment horizontal="center" vertical="center" wrapText="1"/>
    </xf>
    <xf numFmtId="37" fontId="8" fillId="0" borderId="18" xfId="1" applyNumberFormat="1" applyFont="1" applyBorder="1" applyAlignment="1">
      <alignment horizontal="center" vertical="center" wrapText="1"/>
    </xf>
    <xf numFmtId="0" fontId="8" fillId="6" borderId="139" xfId="13" applyNumberFormat="1" applyFont="1" applyFill="1" applyBorder="1" applyAlignment="1">
      <alignment horizontal="center" vertical="center" wrapText="1"/>
    </xf>
    <xf numFmtId="0" fontId="17" fillId="0" borderId="139" xfId="0" quotePrefix="1" applyFont="1" applyFill="1" applyBorder="1" applyAlignment="1">
      <alignment readingOrder="1"/>
    </xf>
    <xf numFmtId="0" fontId="8" fillId="6" borderId="19" xfId="0" quotePrefix="1" applyFont="1" applyFill="1" applyBorder="1" applyAlignment="1">
      <alignment horizontal="left" vertical="center" wrapText="1"/>
    </xf>
    <xf numFmtId="165" fontId="8" fillId="0" borderId="19" xfId="11" applyNumberFormat="1" applyFont="1" applyBorder="1" applyAlignment="1">
      <alignment horizontal="center" vertical="center" wrapText="1"/>
    </xf>
    <xf numFmtId="165" fontId="8" fillId="0" borderId="192" xfId="0" applyNumberFormat="1" applyFont="1" applyBorder="1" applyAlignment="1">
      <alignment horizontal="center" vertical="center" wrapText="1"/>
    </xf>
    <xf numFmtId="0" fontId="1" fillId="0" borderId="0" xfId="0" applyFont="1" applyFill="1" applyBorder="1" applyAlignment="1">
      <alignment vertical="top" wrapText="1"/>
    </xf>
    <xf numFmtId="0" fontId="0" fillId="0" borderId="0" xfId="0" applyBorder="1" applyAlignment="1">
      <alignment horizontal="center" vertical="center"/>
    </xf>
    <xf numFmtId="0" fontId="1" fillId="0" borderId="0" xfId="0" applyFont="1" applyBorder="1" applyAlignment="1">
      <alignment horizontal="center" vertical="center"/>
    </xf>
    <xf numFmtId="41" fontId="0" fillId="0" borderId="0" xfId="2" applyFont="1" applyBorder="1" applyAlignment="1">
      <alignment horizontal="right" vertical="center"/>
    </xf>
    <xf numFmtId="165" fontId="8" fillId="0" borderId="0" xfId="0" applyNumberFormat="1" applyFont="1" applyFill="1" applyBorder="1" applyAlignment="1">
      <alignment horizontal="center" vertical="center" wrapText="1"/>
    </xf>
    <xf numFmtId="0" fontId="35" fillId="6" borderId="199" xfId="0" applyFont="1" applyFill="1" applyBorder="1" applyAlignment="1">
      <alignment wrapText="1" readingOrder="1"/>
    </xf>
    <xf numFmtId="165" fontId="8" fillId="6" borderId="73" xfId="0" applyNumberFormat="1" applyFont="1" applyFill="1" applyBorder="1" applyAlignment="1">
      <alignment horizontal="center" wrapText="1"/>
    </xf>
    <xf numFmtId="0" fontId="1" fillId="0" borderId="19" xfId="0" quotePrefix="1" applyFont="1" applyBorder="1" applyAlignment="1">
      <alignment horizontal="left" vertical="center" wrapText="1"/>
    </xf>
    <xf numFmtId="0" fontId="1" fillId="0" borderId="19" xfId="0" quotePrefix="1" applyFont="1" applyFill="1" applyBorder="1" applyAlignment="1">
      <alignment vertical="top" wrapText="1"/>
    </xf>
    <xf numFmtId="0" fontId="1" fillId="0" borderId="73" xfId="0" quotePrefix="1" applyFont="1" applyFill="1" applyBorder="1" applyAlignment="1">
      <alignment vertical="top" wrapText="1"/>
    </xf>
    <xf numFmtId="0" fontId="35" fillId="6" borderId="19" xfId="0" applyFont="1" applyFill="1" applyBorder="1" applyAlignment="1">
      <alignment wrapText="1" readingOrder="1"/>
    </xf>
    <xf numFmtId="0" fontId="0" fillId="0" borderId="67" xfId="0" applyBorder="1" applyAlignment="1">
      <alignment horizontal="center" vertical="center"/>
    </xf>
    <xf numFmtId="0" fontId="1" fillId="0" borderId="65" xfId="0" applyFont="1" applyBorder="1" applyAlignment="1">
      <alignment horizontal="center" vertical="center"/>
    </xf>
    <xf numFmtId="165" fontId="8" fillId="0" borderId="243" xfId="0" applyNumberFormat="1" applyFont="1" applyFill="1" applyBorder="1" applyAlignment="1">
      <alignment horizontal="center" vertical="center" wrapText="1"/>
    </xf>
    <xf numFmtId="41" fontId="8" fillId="0" borderId="19" xfId="2" applyFont="1" applyBorder="1" applyAlignment="1">
      <alignment vertical="center" wrapText="1"/>
    </xf>
    <xf numFmtId="0" fontId="8" fillId="0" borderId="0" xfId="0" applyFont="1" applyBorder="1" applyAlignment="1">
      <alignment horizontal="center"/>
    </xf>
    <xf numFmtId="0" fontId="5" fillId="0" borderId="0" xfId="0" applyFont="1" applyBorder="1" applyAlignment="1">
      <alignment horizontal="center"/>
    </xf>
    <xf numFmtId="0" fontId="27" fillId="0" borderId="0" xfId="0" applyFont="1" applyBorder="1" applyAlignment="1">
      <alignment horizontal="center"/>
    </xf>
    <xf numFmtId="0" fontId="4" fillId="0" borderId="0" xfId="0" applyFont="1" applyBorder="1" applyAlignment="1">
      <alignment horizontal="left" wrapText="1"/>
    </xf>
    <xf numFmtId="0" fontId="3" fillId="0" borderId="0" xfId="0" applyFont="1" applyBorder="1" applyAlignment="1">
      <alignment horizontal="center"/>
    </xf>
    <xf numFmtId="0" fontId="11" fillId="0" borderId="0" xfId="0" applyFont="1" applyBorder="1" applyAlignment="1">
      <alignment horizontal="center" vertical="center" wrapText="1"/>
    </xf>
    <xf numFmtId="0" fontId="8" fillId="0" borderId="0" xfId="0" applyFont="1" applyBorder="1" applyAlignment="1">
      <alignment horizontal="center" vertical="center" wrapText="1"/>
    </xf>
    <xf numFmtId="42" fontId="8" fillId="0" borderId="0" xfId="5" applyFont="1" applyBorder="1" applyAlignment="1">
      <alignment horizontal="center" wrapText="1"/>
    </xf>
    <xf numFmtId="0" fontId="5" fillId="0" borderId="0" xfId="0" applyFont="1" applyBorder="1" applyAlignment="1">
      <alignment horizontal="center" wrapText="1"/>
    </xf>
    <xf numFmtId="0" fontId="8" fillId="0" borderId="0" xfId="0" applyFont="1" applyBorder="1" applyAlignment="1">
      <alignment horizontal="center" wrapText="1"/>
    </xf>
    <xf numFmtId="0" fontId="13" fillId="0" borderId="0" xfId="0" applyFont="1" applyBorder="1" applyAlignment="1">
      <alignment horizontal="center"/>
    </xf>
    <xf numFmtId="0" fontId="7" fillId="0" borderId="0" xfId="0" applyFont="1" applyBorder="1" applyAlignment="1">
      <alignment horizontal="center"/>
    </xf>
    <xf numFmtId="0" fontId="5" fillId="0" borderId="0" xfId="0" applyFont="1" applyBorder="1" applyAlignment="1">
      <alignment horizontal="center" vertical="top" wrapText="1"/>
    </xf>
    <xf numFmtId="42" fontId="36" fillId="0" borderId="0" xfId="6" applyFont="1" applyBorder="1" applyAlignment="1">
      <alignment horizontal="center" wrapText="1"/>
    </xf>
    <xf numFmtId="0" fontId="35" fillId="0" borderId="0" xfId="8" applyFont="1" applyBorder="1" applyAlignment="1">
      <alignment horizontal="center" wrapText="1"/>
    </xf>
    <xf numFmtId="0" fontId="36" fillId="0" borderId="0" xfId="8" applyFont="1" applyBorder="1" applyAlignment="1">
      <alignment horizontal="center" wrapText="1"/>
    </xf>
    <xf numFmtId="0" fontId="38" fillId="0" borderId="0" xfId="8" applyFont="1" applyBorder="1" applyAlignment="1">
      <alignment horizontal="center"/>
    </xf>
    <xf numFmtId="0" fontId="4" fillId="0" borderId="0" xfId="0" applyFont="1" applyBorder="1" applyAlignment="1">
      <alignment horizontal="left" vertical="top"/>
    </xf>
    <xf numFmtId="0" fontId="8" fillId="0" borderId="0" xfId="0" applyFont="1" applyBorder="1" applyAlignment="1">
      <alignment horizontal="center"/>
    </xf>
    <xf numFmtId="165" fontId="8" fillId="0" borderId="18" xfId="0" applyNumberFormat="1" applyFont="1" applyFill="1" applyBorder="1" applyAlignment="1">
      <alignment horizontal="center" wrapText="1"/>
    </xf>
    <xf numFmtId="42" fontId="5" fillId="0" borderId="0" xfId="14" applyFont="1" applyBorder="1" applyAlignment="1">
      <alignment horizontal="center" wrapText="1"/>
    </xf>
    <xf numFmtId="0" fontId="6"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4" fillId="0" borderId="0" xfId="0" applyFont="1" applyBorder="1" applyAlignment="1">
      <alignment horizontal="left" vertical="center"/>
    </xf>
    <xf numFmtId="0" fontId="4" fillId="0" borderId="0" xfId="0" applyFont="1" applyBorder="1" applyAlignment="1">
      <alignment vertical="top"/>
    </xf>
    <xf numFmtId="164" fontId="4" fillId="0" borderId="0" xfId="0" applyNumberFormat="1" applyFont="1" applyBorder="1" applyAlignment="1">
      <alignment horizontal="left" wrapText="1"/>
    </xf>
    <xf numFmtId="164" fontId="4" fillId="0" borderId="0" xfId="0" applyNumberFormat="1" applyFont="1" applyBorder="1" applyAlignment="1">
      <alignment wrapText="1"/>
    </xf>
    <xf numFmtId="0" fontId="4" fillId="10" borderId="0" xfId="0" applyFont="1" applyFill="1" applyBorder="1" applyAlignment="1">
      <alignment horizontal="center" wrapText="1"/>
    </xf>
    <xf numFmtId="0" fontId="8" fillId="0" borderId="0" xfId="0" applyFont="1" applyBorder="1" applyAlignment="1">
      <alignment wrapText="1"/>
    </xf>
    <xf numFmtId="41" fontId="5" fillId="0" borderId="0" xfId="2" applyNumberFormat="1" applyFont="1" applyBorder="1" applyAlignment="1">
      <alignment horizontal="center" wrapText="1"/>
    </xf>
    <xf numFmtId="41" fontId="5" fillId="0" borderId="0" xfId="0" applyNumberFormat="1" applyFont="1" applyBorder="1" applyAlignment="1">
      <alignment horizontal="center" wrapText="1"/>
    </xf>
    <xf numFmtId="3" fontId="8" fillId="0" borderId="0" xfId="0" applyNumberFormat="1" applyFont="1" applyBorder="1" applyAlignment="1">
      <alignment horizontal="right" wrapText="1"/>
    </xf>
    <xf numFmtId="165" fontId="5" fillId="0" borderId="0" xfId="0" applyNumberFormat="1" applyFont="1" applyBorder="1" applyAlignment="1">
      <alignment horizontal="center" vertical="top" wrapText="1"/>
    </xf>
    <xf numFmtId="0" fontId="8" fillId="0" borderId="0" xfId="9" applyFont="1" applyBorder="1" applyAlignment="1">
      <alignment horizontal="left"/>
    </xf>
    <xf numFmtId="0" fontId="8" fillId="0" borderId="0" xfId="0" applyFont="1" applyBorder="1" applyAlignment="1">
      <alignment horizontal="left" wrapText="1"/>
    </xf>
    <xf numFmtId="0" fontId="4" fillId="0" borderId="0" xfId="0" applyFont="1" applyBorder="1" applyAlignment="1">
      <alignment vertical="top" wrapText="1"/>
    </xf>
    <xf numFmtId="41" fontId="5" fillId="0" borderId="0" xfId="0" applyNumberFormat="1" applyFont="1" applyFill="1" applyBorder="1" applyAlignment="1">
      <alignment vertical="center" wrapText="1"/>
    </xf>
    <xf numFmtId="41" fontId="8" fillId="0" borderId="0" xfId="0" applyNumberFormat="1" applyFont="1" applyBorder="1" applyAlignment="1">
      <alignment horizontal="center" vertical="top" wrapText="1"/>
    </xf>
    <xf numFmtId="0" fontId="8" fillId="0" borderId="73" xfId="0" applyFont="1" applyBorder="1" applyAlignment="1">
      <alignment horizontal="center" vertical="center" wrapText="1"/>
    </xf>
    <xf numFmtId="0" fontId="8" fillId="0" borderId="75" xfId="2" applyNumberFormat="1" applyFont="1" applyBorder="1" applyAlignment="1">
      <alignment horizontal="center" vertical="center" wrapText="1"/>
    </xf>
    <xf numFmtId="41" fontId="8" fillId="0" borderId="244" xfId="0" applyNumberFormat="1" applyFont="1" applyBorder="1" applyAlignment="1">
      <alignment horizontal="center" wrapText="1"/>
    </xf>
    <xf numFmtId="41" fontId="8" fillId="0" borderId="0" xfId="0" applyNumberFormat="1" applyFont="1" applyFill="1" applyBorder="1" applyAlignment="1">
      <alignment horizontal="center" vertical="center" wrapText="1"/>
    </xf>
    <xf numFmtId="41" fontId="36" fillId="0" borderId="0" xfId="0" applyNumberFormat="1" applyFont="1" applyFill="1" applyBorder="1" applyAlignment="1">
      <alignment horizontal="center" wrapText="1"/>
    </xf>
    <xf numFmtId="41" fontId="5" fillId="0" borderId="0" xfId="0" applyNumberFormat="1" applyFont="1" applyFill="1" applyBorder="1" applyAlignment="1">
      <alignment horizontal="center" wrapText="1"/>
    </xf>
    <xf numFmtId="0" fontId="46" fillId="0" borderId="0" xfId="0" applyFont="1" applyBorder="1" applyAlignment="1">
      <alignment vertical="center" wrapText="1"/>
    </xf>
    <xf numFmtId="0" fontId="46" fillId="0" borderId="0" xfId="0" applyFont="1" applyBorder="1" applyAlignment="1">
      <alignment horizontal="center" vertical="center" wrapText="1"/>
    </xf>
    <xf numFmtId="41" fontId="5" fillId="0" borderId="0" xfId="2" applyNumberFormat="1" applyFont="1" applyBorder="1" applyAlignment="1">
      <alignment horizontal="right" wrapText="1"/>
    </xf>
    <xf numFmtId="41" fontId="5" fillId="0" borderId="0" xfId="0" applyNumberFormat="1" applyFont="1" applyBorder="1" applyAlignment="1">
      <alignment horizontal="right" wrapText="1"/>
    </xf>
    <xf numFmtId="41" fontId="8" fillId="0" borderId="0" xfId="0" applyNumberFormat="1" applyFont="1" applyBorder="1" applyAlignment="1">
      <alignment horizontal="right" wrapText="1"/>
    </xf>
    <xf numFmtId="41" fontId="8" fillId="0" borderId="0" xfId="2" applyNumberFormat="1" applyFont="1" applyBorder="1" applyAlignment="1">
      <alignment horizontal="right" vertical="center" wrapText="1"/>
    </xf>
    <xf numFmtId="41" fontId="8" fillId="0" borderId="0" xfId="2" applyNumberFormat="1" applyFont="1" applyBorder="1" applyAlignment="1">
      <alignment horizontal="right" wrapText="1"/>
    </xf>
    <xf numFmtId="41" fontId="8" fillId="0" borderId="0" xfId="2" applyFont="1" applyBorder="1" applyAlignment="1">
      <alignment horizontal="right" wrapText="1"/>
    </xf>
    <xf numFmtId="41" fontId="36" fillId="0" borderId="0" xfId="2" applyNumberFormat="1" applyFont="1" applyBorder="1" applyAlignment="1">
      <alignment horizontal="right" wrapText="1"/>
    </xf>
    <xf numFmtId="3" fontId="46" fillId="0" borderId="146" xfId="0" applyNumberFormat="1" applyFont="1" applyBorder="1" applyAlignment="1">
      <alignment horizontal="right" vertical="center" wrapText="1"/>
    </xf>
    <xf numFmtId="0" fontId="8" fillId="0" borderId="147" xfId="0" applyFont="1" applyBorder="1" applyAlignment="1">
      <alignment vertical="center"/>
    </xf>
    <xf numFmtId="0" fontId="46" fillId="0" borderId="74" xfId="0" applyFont="1" applyBorder="1"/>
    <xf numFmtId="0" fontId="36" fillId="0" borderId="57" xfId="0" applyNumberFormat="1" applyFont="1" applyBorder="1" applyAlignment="1">
      <alignment horizontal="center" vertical="center" wrapText="1"/>
    </xf>
    <xf numFmtId="43" fontId="36" fillId="0" borderId="57" xfId="0" applyNumberFormat="1" applyFont="1" applyBorder="1" applyAlignment="1">
      <alignment horizontal="center" wrapText="1"/>
    </xf>
    <xf numFmtId="165" fontId="36" fillId="0" borderId="74" xfId="0" applyNumberFormat="1" applyFont="1" applyBorder="1" applyAlignment="1">
      <alignment horizontal="right" wrapText="1"/>
    </xf>
    <xf numFmtId="0" fontId="8" fillId="0" borderId="0" xfId="0" applyFont="1" applyBorder="1" applyAlignment="1">
      <alignment vertical="top" wrapText="1"/>
    </xf>
    <xf numFmtId="41" fontId="8" fillId="0" borderId="0" xfId="2" applyNumberFormat="1" applyFont="1" applyBorder="1" applyAlignment="1">
      <alignment horizontal="center" wrapText="1"/>
    </xf>
    <xf numFmtId="41" fontId="8" fillId="4" borderId="0" xfId="0" applyNumberFormat="1" applyFont="1" applyFill="1" applyBorder="1" applyAlignment="1">
      <alignment horizontal="center" wrapText="1"/>
    </xf>
    <xf numFmtId="0" fontId="15" fillId="0" borderId="0" xfId="0" applyFont="1" applyBorder="1" applyAlignment="1">
      <alignment horizontal="justify" wrapText="1"/>
    </xf>
    <xf numFmtId="0" fontId="8" fillId="0" borderId="0" xfId="0" applyFont="1" applyBorder="1" applyAlignment="1">
      <alignment vertical="top"/>
    </xf>
    <xf numFmtId="41" fontId="8" fillId="0" borderId="0" xfId="0" applyNumberFormat="1" applyFont="1" applyBorder="1" applyAlignment="1">
      <alignment horizontal="center" vertical="center" wrapText="1"/>
    </xf>
    <xf numFmtId="0" fontId="4" fillId="0" borderId="0" xfId="0" applyFont="1" applyBorder="1" applyAlignment="1">
      <alignment horizontal="left" vertical="top" wrapText="1"/>
    </xf>
    <xf numFmtId="0" fontId="8" fillId="0" borderId="0" xfId="0" applyFont="1" applyBorder="1" applyAlignment="1">
      <alignment horizontal="left" vertical="top" wrapText="1"/>
    </xf>
    <xf numFmtId="41" fontId="36" fillId="6" borderId="0" xfId="0" applyNumberFormat="1" applyFont="1" applyFill="1" applyBorder="1" applyAlignment="1">
      <alignment horizontal="center" wrapText="1"/>
    </xf>
    <xf numFmtId="0" fontId="17" fillId="6" borderId="73" xfId="0" quotePrefix="1" applyFont="1" applyFill="1" applyBorder="1" applyAlignment="1">
      <alignment readingOrder="1"/>
    </xf>
    <xf numFmtId="0" fontId="8" fillId="6" borderId="75" xfId="1" applyNumberFormat="1" applyFont="1" applyFill="1" applyBorder="1" applyAlignment="1">
      <alignment horizontal="center" vertical="center" wrapText="1"/>
    </xf>
    <xf numFmtId="43" fontId="8" fillId="6" borderId="75" xfId="0" applyNumberFormat="1" applyFont="1" applyFill="1" applyBorder="1" applyAlignment="1">
      <alignment horizontal="center" wrapText="1"/>
    </xf>
    <xf numFmtId="165" fontId="36" fillId="6" borderId="73" xfId="0" applyNumberFormat="1" applyFont="1" applyFill="1" applyBorder="1" applyAlignment="1">
      <alignment horizontal="center" wrapText="1"/>
    </xf>
    <xf numFmtId="41" fontId="36" fillId="6" borderId="99" xfId="0" applyNumberFormat="1" applyFont="1" applyFill="1" applyBorder="1" applyAlignment="1">
      <alignment horizontal="center" wrapText="1"/>
    </xf>
    <xf numFmtId="41" fontId="8" fillId="0" borderId="0" xfId="2" applyNumberFormat="1" applyFont="1" applyBorder="1" applyAlignment="1">
      <alignment horizontal="center" vertical="center" wrapText="1"/>
    </xf>
    <xf numFmtId="41" fontId="8" fillId="0" borderId="0" xfId="0" applyNumberFormat="1" applyFont="1" applyBorder="1" applyAlignment="1">
      <alignment horizontal="right" vertical="top" wrapText="1"/>
    </xf>
    <xf numFmtId="41" fontId="5" fillId="0" borderId="0" xfId="0" applyNumberFormat="1" applyFont="1" applyBorder="1" applyAlignment="1">
      <alignment horizontal="right" vertical="top" wrapText="1"/>
    </xf>
    <xf numFmtId="41" fontId="5" fillId="0" borderId="0" xfId="2" applyFont="1" applyBorder="1" applyAlignment="1">
      <alignment horizontal="center" vertical="center" wrapText="1"/>
    </xf>
    <xf numFmtId="9" fontId="8" fillId="0" borderId="0" xfId="0" applyNumberFormat="1" applyFont="1" applyBorder="1" applyAlignment="1">
      <alignment horizontal="center" wrapText="1"/>
    </xf>
    <xf numFmtId="3" fontId="8" fillId="0" borderId="0" xfId="0" applyNumberFormat="1" applyFont="1" applyBorder="1" applyAlignment="1">
      <alignment horizontal="center" wrapText="1"/>
    </xf>
    <xf numFmtId="165" fontId="35" fillId="0" borderId="0" xfId="0" applyNumberFormat="1" applyFont="1" applyBorder="1" applyAlignment="1">
      <alignment horizontal="center" wrapText="1"/>
    </xf>
    <xf numFmtId="165" fontId="36" fillId="0" borderId="0" xfId="0" applyNumberFormat="1" applyFont="1" applyBorder="1" applyAlignment="1">
      <alignment horizontal="center" wrapText="1"/>
    </xf>
    <xf numFmtId="165" fontId="36" fillId="6" borderId="0" xfId="0" applyNumberFormat="1" applyFont="1" applyFill="1" applyBorder="1" applyAlignment="1">
      <alignment horizontal="center" vertical="center" wrapText="1"/>
    </xf>
    <xf numFmtId="165" fontId="36" fillId="6" borderId="0" xfId="0" applyNumberFormat="1" applyFont="1" applyFill="1" applyBorder="1" applyAlignment="1">
      <alignment horizontal="center" wrapText="1"/>
    </xf>
    <xf numFmtId="165" fontId="5" fillId="0" borderId="0" xfId="0" applyNumberFormat="1" applyFont="1" applyBorder="1" applyAlignment="1">
      <alignment horizontal="center" vertical="center" wrapText="1"/>
    </xf>
    <xf numFmtId="165" fontId="36" fillId="6" borderId="99" xfId="0" applyNumberFormat="1" applyFont="1" applyFill="1" applyBorder="1" applyAlignment="1">
      <alignment horizontal="center" vertical="center" wrapText="1"/>
    </xf>
    <xf numFmtId="41" fontId="3" fillId="0" borderId="0" xfId="0" applyNumberFormat="1" applyFont="1" applyBorder="1" applyAlignment="1">
      <alignment horizontal="center" wrapText="1"/>
    </xf>
    <xf numFmtId="41" fontId="5" fillId="0" borderId="0" xfId="0" applyNumberFormat="1" applyFont="1" applyBorder="1" applyAlignment="1">
      <alignment horizontal="center" vertical="center" wrapText="1"/>
    </xf>
    <xf numFmtId="41" fontId="8" fillId="0" borderId="99" xfId="0" applyNumberFormat="1" applyFont="1" applyBorder="1" applyAlignment="1">
      <alignment horizontal="center" vertical="center" wrapText="1"/>
    </xf>
    <xf numFmtId="3" fontId="46" fillId="0" borderId="0" xfId="0" applyNumberFormat="1" applyFont="1" applyBorder="1" applyAlignment="1">
      <alignment horizontal="right" vertical="center" wrapText="1"/>
    </xf>
    <xf numFmtId="41" fontId="36" fillId="6" borderId="0" xfId="2" applyNumberFormat="1" applyFont="1" applyFill="1" applyBorder="1" applyAlignment="1">
      <alignment horizontal="right" wrapText="1"/>
    </xf>
    <xf numFmtId="41" fontId="8" fillId="4" borderId="0" xfId="2" applyNumberFormat="1" applyFont="1" applyFill="1" applyBorder="1" applyAlignment="1">
      <alignment horizontal="right" wrapText="1"/>
    </xf>
    <xf numFmtId="41" fontId="8" fillId="0" borderId="87" xfId="2" applyNumberFormat="1" applyFont="1" applyFill="1" applyBorder="1" applyAlignment="1">
      <alignment horizontal="right" wrapText="1"/>
    </xf>
    <xf numFmtId="41" fontId="8" fillId="0" borderId="99" xfId="0" applyNumberFormat="1" applyFont="1" applyFill="1" applyBorder="1" applyAlignment="1">
      <alignment horizontal="center" wrapText="1"/>
    </xf>
    <xf numFmtId="165" fontId="30" fillId="0" borderId="70" xfId="0" applyNumberFormat="1" applyFont="1" applyBorder="1" applyAlignment="1">
      <alignment horizontal="center" wrapText="1"/>
    </xf>
    <xf numFmtId="165" fontId="36" fillId="0" borderId="99" xfId="0" applyNumberFormat="1" applyFont="1" applyFill="1" applyBorder="1" applyAlignment="1">
      <alignment horizontal="center" wrapText="1"/>
    </xf>
    <xf numFmtId="43" fontId="8" fillId="0" borderId="96" xfId="0" applyNumberFormat="1" applyFont="1" applyFill="1" applyBorder="1" applyAlignment="1">
      <alignment horizontal="center" wrapText="1"/>
    </xf>
    <xf numFmtId="41" fontId="8" fillId="0" borderId="96" xfId="0" applyNumberFormat="1" applyFont="1" applyFill="1" applyBorder="1" applyAlignment="1">
      <alignment horizontal="center" wrapText="1"/>
    </xf>
    <xf numFmtId="41" fontId="8" fillId="0" borderId="87" xfId="2" applyNumberFormat="1" applyFont="1" applyFill="1" applyBorder="1" applyAlignment="1">
      <alignment horizontal="right" vertical="center" wrapText="1"/>
    </xf>
    <xf numFmtId="41" fontId="36" fillId="0" borderId="81" xfId="2" applyNumberFormat="1" applyFont="1" applyFill="1" applyBorder="1" applyAlignment="1">
      <alignment horizontal="right" wrapText="1"/>
    </xf>
    <xf numFmtId="165" fontId="8" fillId="0" borderId="208" xfId="1" applyNumberFormat="1" applyFont="1" applyFill="1" applyBorder="1"/>
    <xf numFmtId="43" fontId="8" fillId="0" borderId="0" xfId="0" applyNumberFormat="1" applyFont="1" applyFill="1"/>
    <xf numFmtId="165" fontId="15" fillId="0" borderId="7" xfId="0" applyNumberFormat="1" applyFont="1" applyFill="1" applyBorder="1" applyAlignment="1">
      <alignment horizontal="center" wrapText="1"/>
    </xf>
    <xf numFmtId="165" fontId="15" fillId="0" borderId="7" xfId="0" applyNumberFormat="1" applyFont="1" applyFill="1" applyBorder="1" applyAlignment="1">
      <alignment wrapText="1"/>
    </xf>
    <xf numFmtId="0" fontId="36" fillId="0" borderId="0" xfId="8" applyFont="1" applyBorder="1" applyAlignment="1">
      <alignment horizontal="left" vertical="top"/>
    </xf>
    <xf numFmtId="0" fontId="36" fillId="0" borderId="0" xfId="8" applyFont="1" applyBorder="1" applyAlignment="1">
      <alignment horizontal="left" vertical="top" wrapText="1"/>
    </xf>
    <xf numFmtId="164" fontId="34" fillId="0" borderId="0" xfId="8" applyNumberFormat="1" applyFont="1" applyBorder="1" applyAlignment="1">
      <alignment horizontal="left" vertical="center" wrapText="1"/>
    </xf>
    <xf numFmtId="0" fontId="34" fillId="10" borderId="0" xfId="8" applyFont="1" applyFill="1" applyBorder="1" applyAlignment="1">
      <alignment horizontal="center" wrapText="1"/>
    </xf>
    <xf numFmtId="165" fontId="35" fillId="0" borderId="0" xfId="8" applyNumberFormat="1" applyFont="1" applyBorder="1" applyAlignment="1">
      <alignment horizontal="center" vertical="center" wrapText="1"/>
    </xf>
    <xf numFmtId="165" fontId="35" fillId="6" borderId="0" xfId="8" applyNumberFormat="1" applyFont="1" applyFill="1" applyBorder="1" applyAlignment="1">
      <alignment horizontal="center" wrapText="1"/>
    </xf>
    <xf numFmtId="165" fontId="35" fillId="0" borderId="0" xfId="8" applyNumberFormat="1" applyFont="1" applyFill="1" applyBorder="1" applyAlignment="1">
      <alignment horizontal="center"/>
    </xf>
    <xf numFmtId="165" fontId="8" fillId="6" borderId="0" xfId="8" applyNumberFormat="1" applyFont="1" applyFill="1" applyBorder="1" applyAlignment="1">
      <alignment horizontal="center" vertical="center" wrapText="1"/>
    </xf>
    <xf numFmtId="0" fontId="34" fillId="0" borderId="0" xfId="8" applyFont="1" applyBorder="1" applyAlignment="1">
      <alignment horizontal="left" vertical="center" wrapText="1"/>
    </xf>
    <xf numFmtId="9" fontId="36" fillId="0" borderId="0" xfId="8" applyNumberFormat="1" applyFont="1" applyBorder="1" applyAlignment="1">
      <alignment horizontal="center" vertical="center" wrapText="1"/>
    </xf>
    <xf numFmtId="165" fontId="36" fillId="0" borderId="0" xfId="8" applyNumberFormat="1" applyFont="1" applyFill="1" applyBorder="1" applyAlignment="1">
      <alignment horizontal="center" vertical="center" wrapText="1"/>
    </xf>
    <xf numFmtId="43" fontId="35" fillId="0" borderId="0" xfId="1" applyFont="1" applyAlignment="1">
      <alignment vertical="center"/>
    </xf>
    <xf numFmtId="165" fontId="8" fillId="0" borderId="17" xfId="0" applyNumberFormat="1" applyFont="1" applyFill="1" applyBorder="1" applyAlignment="1">
      <alignment horizontal="center" wrapText="1"/>
    </xf>
    <xf numFmtId="0" fontId="8" fillId="0" borderId="73" xfId="0" quotePrefix="1" applyFont="1" applyBorder="1" applyAlignment="1">
      <alignment readingOrder="1"/>
    </xf>
    <xf numFmtId="165" fontId="36" fillId="0" borderId="99" xfId="0" applyNumberFormat="1" applyFont="1" applyBorder="1" applyAlignment="1">
      <alignment horizontal="center" wrapText="1"/>
    </xf>
    <xf numFmtId="0" fontId="1" fillId="0" borderId="199" xfId="0" quotePrefix="1" applyFont="1" applyBorder="1" applyAlignment="1">
      <alignment horizontal="left" vertical="center"/>
    </xf>
    <xf numFmtId="0" fontId="17" fillId="0" borderId="49" xfId="0" quotePrefix="1" applyFont="1" applyBorder="1"/>
    <xf numFmtId="0" fontId="16" fillId="0" borderId="17" xfId="0" quotePrefix="1" applyFont="1" applyBorder="1"/>
    <xf numFmtId="0" fontId="8" fillId="0" borderId="0" xfId="0" applyFont="1" applyFill="1" applyBorder="1" applyAlignment="1">
      <alignment horizontal="center"/>
    </xf>
    <xf numFmtId="0" fontId="25" fillId="0" borderId="0" xfId="0" applyFont="1" applyFill="1" applyBorder="1" applyAlignment="1">
      <alignment horizontal="left"/>
    </xf>
    <xf numFmtId="0" fontId="25" fillId="0" borderId="0" xfId="0" applyFont="1" applyFill="1" applyBorder="1" applyAlignment="1">
      <alignment horizontal="center"/>
    </xf>
    <xf numFmtId="42" fontId="25" fillId="0" borderId="0" xfId="5" applyFont="1" applyFill="1" applyBorder="1" applyAlignment="1">
      <alignment horizontal="center"/>
    </xf>
    <xf numFmtId="167" fontId="8" fillId="0" borderId="0" xfId="0" applyNumberFormat="1" applyFont="1" applyFill="1" applyBorder="1" applyAlignment="1">
      <alignment horizontal="center"/>
    </xf>
    <xf numFmtId="0" fontId="54" fillId="0" borderId="0" xfId="0" applyFont="1" applyFill="1" applyBorder="1" applyAlignment="1">
      <alignment horizontal="center"/>
    </xf>
    <xf numFmtId="0" fontId="51" fillId="0" borderId="0" xfId="0" applyFont="1" applyFill="1" applyBorder="1" applyAlignment="1">
      <alignment horizontal="center"/>
    </xf>
    <xf numFmtId="0" fontId="53" fillId="0" borderId="0" xfId="0" applyFont="1" applyFill="1" applyBorder="1" applyAlignment="1">
      <alignment horizontal="center"/>
    </xf>
    <xf numFmtId="0" fontId="8" fillId="0" borderId="42" xfId="0" applyFont="1" applyBorder="1" applyAlignment="1">
      <alignment vertical="center" wrapText="1"/>
    </xf>
    <xf numFmtId="0" fontId="8" fillId="0" borderId="149" xfId="0" applyFont="1" applyBorder="1" applyAlignment="1">
      <alignment vertical="center" wrapText="1"/>
    </xf>
    <xf numFmtId="0" fontId="8" fillId="0" borderId="39" xfId="0" applyFont="1" applyBorder="1" applyAlignment="1">
      <alignment horizontal="left" vertical="center" wrapText="1"/>
    </xf>
    <xf numFmtId="0" fontId="8" fillId="0" borderId="5" xfId="0" applyFont="1" applyBorder="1" applyAlignment="1">
      <alignment vertical="center" wrapText="1"/>
    </xf>
    <xf numFmtId="0" fontId="8" fillId="0" borderId="40" xfId="0" applyFont="1" applyBorder="1" applyAlignment="1">
      <alignment vertical="center" wrapText="1"/>
    </xf>
    <xf numFmtId="0" fontId="8" fillId="0" borderId="35" xfId="0" applyFont="1" applyBorder="1" applyAlignment="1">
      <alignment vertical="center" wrapText="1"/>
    </xf>
    <xf numFmtId="0" fontId="8" fillId="0" borderId="1" xfId="0" applyFont="1" applyBorder="1" applyAlignment="1">
      <alignment vertical="center" wrapText="1"/>
    </xf>
    <xf numFmtId="0" fontId="8" fillId="0" borderId="36" xfId="0" applyFont="1" applyBorder="1" applyAlignment="1">
      <alignment vertical="center" wrapText="1"/>
    </xf>
    <xf numFmtId="0" fontId="8" fillId="0" borderId="150" xfId="0" applyFont="1" applyBorder="1" applyAlignment="1">
      <alignment vertical="center" wrapText="1"/>
    </xf>
    <xf numFmtId="0" fontId="8" fillId="0" borderId="151" xfId="0" applyFont="1" applyBorder="1" applyAlignment="1">
      <alignment vertical="center" wrapText="1"/>
    </xf>
    <xf numFmtId="0" fontId="8" fillId="0" borderId="152" xfId="0" applyFont="1" applyBorder="1" applyAlignment="1">
      <alignment vertical="center" wrapText="1"/>
    </xf>
    <xf numFmtId="0" fontId="8" fillId="0" borderId="45" xfId="0" applyFont="1" applyBorder="1" applyAlignment="1">
      <alignment vertical="center" wrapText="1"/>
    </xf>
    <xf numFmtId="0" fontId="8" fillId="0" borderId="41" xfId="0" applyFont="1" applyBorder="1" applyAlignment="1">
      <alignment vertical="center" wrapText="1"/>
    </xf>
    <xf numFmtId="0" fontId="3" fillId="0" borderId="161" xfId="0" applyFont="1" applyBorder="1" applyAlignment="1">
      <alignment horizontal="center"/>
    </xf>
    <xf numFmtId="0" fontId="3" fillId="0" borderId="14" xfId="0" applyFont="1" applyBorder="1" applyAlignment="1">
      <alignment horizontal="center"/>
    </xf>
    <xf numFmtId="0" fontId="3" fillId="0" borderId="140" xfId="0" applyFont="1" applyBorder="1" applyAlignment="1">
      <alignment horizontal="center"/>
    </xf>
    <xf numFmtId="0" fontId="3" fillId="0" borderId="79" xfId="0" applyFont="1" applyBorder="1" applyAlignment="1">
      <alignment horizontal="center" vertical="top"/>
    </xf>
    <xf numFmtId="0" fontId="3" fillId="0" borderId="1" xfId="0" applyFont="1" applyBorder="1" applyAlignment="1">
      <alignment horizontal="center" vertical="top"/>
    </xf>
    <xf numFmtId="0" fontId="3" fillId="0" borderId="82" xfId="0" applyFont="1" applyBorder="1" applyAlignment="1">
      <alignment horizontal="center" vertical="top"/>
    </xf>
    <xf numFmtId="0" fontId="8" fillId="0" borderId="0" xfId="0" applyFont="1" applyBorder="1" applyAlignment="1">
      <alignment horizontal="center"/>
    </xf>
    <xf numFmtId="0" fontId="8" fillId="0" borderId="81" xfId="0" applyFont="1" applyBorder="1" applyAlignment="1">
      <alignment horizontal="center"/>
    </xf>
    <xf numFmtId="0" fontId="4" fillId="0" borderId="80" xfId="0" applyFont="1" applyBorder="1" applyAlignment="1">
      <alignment horizontal="left" vertical="center" wrapText="1"/>
    </xf>
    <xf numFmtId="0" fontId="4" fillId="0" borderId="4" xfId="0" applyFont="1" applyBorder="1" applyAlignment="1">
      <alignment horizontal="left" vertical="center" wrapText="1"/>
    </xf>
    <xf numFmtId="0" fontId="4" fillId="0" borderId="54" xfId="0" applyFont="1" applyBorder="1" applyAlignment="1">
      <alignment horizontal="left" vertical="center" wrapText="1"/>
    </xf>
    <xf numFmtId="0" fontId="5" fillId="0" borderId="0" xfId="0" applyFont="1" applyBorder="1" applyAlignment="1">
      <alignment horizontal="center"/>
    </xf>
    <xf numFmtId="0" fontId="5" fillId="0" borderId="81" xfId="0" applyFont="1" applyBorder="1" applyAlignment="1">
      <alignment horizontal="center"/>
    </xf>
    <xf numFmtId="0" fontId="11" fillId="0" borderId="33"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59" xfId="0" applyFont="1" applyBorder="1" applyAlignment="1">
      <alignment horizontal="center" vertical="center" wrapText="1"/>
    </xf>
    <xf numFmtId="0" fontId="11" fillId="0" borderId="178" xfId="0" applyFont="1" applyBorder="1" applyAlignment="1">
      <alignment horizontal="center" vertical="center" wrapText="1"/>
    </xf>
    <xf numFmtId="0" fontId="11" fillId="0" borderId="184" xfId="0" applyFont="1" applyBorder="1" applyAlignment="1">
      <alignment horizontal="center" vertical="center" wrapText="1"/>
    </xf>
    <xf numFmtId="0" fontId="8" fillId="0" borderId="156" xfId="0" applyFont="1" applyBorder="1" applyAlignment="1">
      <alignment horizontal="center"/>
    </xf>
    <xf numFmtId="0" fontId="8" fillId="0" borderId="154" xfId="0" applyFont="1" applyBorder="1" applyAlignment="1">
      <alignment horizontal="center"/>
    </xf>
    <xf numFmtId="0" fontId="3" fillId="0" borderId="91" xfId="0" applyFont="1" applyBorder="1" applyAlignment="1">
      <alignment horizontal="center"/>
    </xf>
    <xf numFmtId="0" fontId="3" fillId="0" borderId="5" xfId="0" applyFont="1" applyBorder="1" applyAlignment="1">
      <alignment horizontal="center"/>
    </xf>
    <xf numFmtId="0" fontId="3" fillId="0" borderId="125" xfId="0" applyFont="1" applyBorder="1" applyAlignment="1">
      <alignment horizontal="center"/>
    </xf>
    <xf numFmtId="0" fontId="3" fillId="0" borderId="79" xfId="0" applyFont="1" applyBorder="1" applyAlignment="1">
      <alignment horizontal="center"/>
    </xf>
    <xf numFmtId="0" fontId="3" fillId="0" borderId="1" xfId="0" applyFont="1" applyBorder="1" applyAlignment="1">
      <alignment horizontal="center"/>
    </xf>
    <xf numFmtId="0" fontId="3" fillId="0" borderId="82" xfId="0" applyFont="1" applyBorder="1" applyAlignment="1">
      <alignment horizontal="center"/>
    </xf>
    <xf numFmtId="0" fontId="5" fillId="0" borderId="91" xfId="0" applyFont="1" applyBorder="1" applyAlignment="1">
      <alignment horizontal="center"/>
    </xf>
    <xf numFmtId="0" fontId="5" fillId="0" borderId="5" xfId="0" applyFont="1" applyBorder="1" applyAlignment="1">
      <alignment horizontal="center"/>
    </xf>
    <xf numFmtId="0" fontId="5" fillId="0" borderId="79" xfId="0" applyFont="1" applyBorder="1" applyAlignment="1">
      <alignment horizontal="center"/>
    </xf>
    <xf numFmtId="0" fontId="5" fillId="0" borderId="1" xfId="0" applyFont="1" applyBorder="1" applyAlignment="1">
      <alignment horizontal="center"/>
    </xf>
    <xf numFmtId="0" fontId="5" fillId="0" borderId="209"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80" xfId="0" applyFont="1" applyBorder="1" applyAlignment="1">
      <alignment horizontal="center"/>
    </xf>
    <xf numFmtId="0" fontId="5" fillId="0" borderId="4" xfId="0" applyFont="1" applyBorder="1" applyAlignment="1">
      <alignment horizontal="center"/>
    </xf>
    <xf numFmtId="0" fontId="8" fillId="0" borderId="157" xfId="0" applyFont="1" applyBorder="1"/>
    <xf numFmtId="0" fontId="8" fillId="0" borderId="77" xfId="0" applyFont="1" applyBorder="1"/>
    <xf numFmtId="0" fontId="8" fillId="0" borderId="93" xfId="0" applyFont="1" applyBorder="1"/>
    <xf numFmtId="0" fontId="27" fillId="0" borderId="0" xfId="0" applyFont="1" applyBorder="1" applyAlignment="1">
      <alignment horizontal="center"/>
    </xf>
    <xf numFmtId="0" fontId="27" fillId="0" borderId="81" xfId="0" applyFont="1" applyBorder="1" applyAlignment="1">
      <alignment horizontal="center"/>
    </xf>
    <xf numFmtId="0" fontId="5" fillId="0" borderId="5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3" fillId="0" borderId="172" xfId="0" applyFont="1" applyBorder="1" applyAlignment="1">
      <alignment horizontal="center" vertical="center" wrapText="1"/>
    </xf>
    <xf numFmtId="0" fontId="8" fillId="0" borderId="52" xfId="0" applyFont="1" applyBorder="1"/>
    <xf numFmtId="0" fontId="3" fillId="0" borderId="51"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2" xfId="0" applyFont="1" applyBorder="1" applyAlignment="1">
      <alignment horizontal="center"/>
    </xf>
    <xf numFmtId="0" fontId="4" fillId="0" borderId="7" xfId="0" applyFont="1" applyBorder="1" applyAlignment="1">
      <alignment horizontal="justify" wrapText="1"/>
    </xf>
    <xf numFmtId="0" fontId="4" fillId="0" borderId="52" xfId="0" applyFont="1" applyBorder="1" applyAlignment="1">
      <alignment horizontal="justify" wrapText="1"/>
    </xf>
    <xf numFmtId="0" fontId="4" fillId="0" borderId="4" xfId="0" applyFont="1" applyBorder="1" applyAlignment="1">
      <alignment horizontal="justify" wrapText="1"/>
    </xf>
    <xf numFmtId="0" fontId="4" fillId="0" borderId="54" xfId="0" applyFont="1" applyBorder="1" applyAlignment="1">
      <alignment horizontal="justify" wrapText="1"/>
    </xf>
    <xf numFmtId="0" fontId="4" fillId="0" borderId="80" xfId="0" applyFont="1" applyBorder="1" applyAlignment="1">
      <alignment horizontal="left" wrapText="1"/>
    </xf>
    <xf numFmtId="0" fontId="4" fillId="0" borderId="4" xfId="0" applyFont="1" applyBorder="1" applyAlignment="1">
      <alignment horizontal="left" wrapText="1"/>
    </xf>
    <xf numFmtId="0" fontId="11" fillId="0" borderId="163" xfId="0" applyFont="1" applyBorder="1" applyAlignment="1">
      <alignment horizontal="center" vertical="center" wrapText="1"/>
    </xf>
    <xf numFmtId="0" fontId="11" fillId="0" borderId="131"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9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6" xfId="0" applyFont="1" applyBorder="1" applyAlignment="1">
      <alignment horizontal="center" vertical="center" wrapText="1"/>
    </xf>
    <xf numFmtId="0" fontId="8" fillId="0" borderId="37" xfId="0" applyFont="1" applyBorder="1" applyAlignment="1">
      <alignment horizontal="center" wrapText="1"/>
    </xf>
    <xf numFmtId="0" fontId="8" fillId="0" borderId="4" xfId="0" applyFont="1" applyBorder="1" applyAlignment="1">
      <alignment horizontal="center" wrapText="1"/>
    </xf>
    <xf numFmtId="0" fontId="8" fillId="0" borderId="54" xfId="0" applyFont="1" applyBorder="1" applyAlignment="1">
      <alignment horizontal="center" wrapText="1"/>
    </xf>
    <xf numFmtId="0" fontId="3" fillId="0" borderId="100" xfId="0" applyFont="1" applyBorder="1" applyAlignment="1">
      <alignment horizontal="center" wrapText="1"/>
    </xf>
    <xf numFmtId="0" fontId="4" fillId="0" borderId="167" xfId="9" applyFont="1" applyBorder="1" applyAlignment="1">
      <alignment horizontal="center"/>
    </xf>
    <xf numFmtId="0" fontId="4" fillId="0" borderId="127" xfId="9" applyFont="1" applyBorder="1" applyAlignment="1">
      <alignment horizontal="center"/>
    </xf>
    <xf numFmtId="0" fontId="4" fillId="0" borderId="106" xfId="0" applyFont="1" applyBorder="1" applyAlignment="1">
      <alignment horizontal="center"/>
    </xf>
    <xf numFmtId="0" fontId="4" fillId="0" borderId="56" xfId="0" applyFont="1" applyBorder="1" applyAlignment="1">
      <alignment horizontal="center"/>
    </xf>
    <xf numFmtId="0" fontId="4" fillId="0" borderId="104" xfId="0" applyFont="1" applyBorder="1" applyAlignment="1">
      <alignment horizontal="center"/>
    </xf>
    <xf numFmtId="0" fontId="4" fillId="0" borderId="95" xfId="0" applyFont="1" applyBorder="1" applyAlignment="1">
      <alignment horizontal="center"/>
    </xf>
    <xf numFmtId="0" fontId="4" fillId="0" borderId="53" xfId="0" applyFont="1" applyBorder="1" applyAlignment="1">
      <alignment horizontal="center"/>
    </xf>
    <xf numFmtId="0" fontId="4" fillId="0" borderId="55" xfId="0" applyFont="1" applyBorder="1" applyAlignment="1">
      <alignment horizontal="center"/>
    </xf>
    <xf numFmtId="0" fontId="4" fillId="0" borderId="51"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9" xfId="9" applyFont="1" applyBorder="1" applyAlignment="1">
      <alignment horizontal="center"/>
    </xf>
    <xf numFmtId="0" fontId="4" fillId="0" borderId="4" xfId="9" applyFont="1" applyBorder="1" applyAlignment="1">
      <alignment horizontal="center"/>
    </xf>
    <xf numFmtId="0" fontId="8" fillId="0" borderId="39" xfId="0" applyFont="1" applyBorder="1" applyAlignment="1">
      <alignment horizontal="left" wrapText="1"/>
    </xf>
    <xf numFmtId="0" fontId="8" fillId="0" borderId="125" xfId="0" applyFont="1" applyBorder="1" applyAlignment="1">
      <alignment horizontal="left" wrapText="1"/>
    </xf>
    <xf numFmtId="0" fontId="8" fillId="0" borderId="4" xfId="9" applyFont="1" applyBorder="1" applyAlignment="1">
      <alignment horizontal="center"/>
    </xf>
    <xf numFmtId="0" fontId="8" fillId="0" borderId="6" xfId="9" applyFont="1" applyBorder="1" applyAlignment="1">
      <alignment horizontal="center"/>
    </xf>
    <xf numFmtId="0" fontId="8" fillId="0" borderId="1" xfId="9" applyFont="1" applyBorder="1" applyAlignment="1">
      <alignment horizontal="left"/>
    </xf>
    <xf numFmtId="0" fontId="8" fillId="0" borderId="4" xfId="9" applyFont="1" applyBorder="1" applyAlignment="1">
      <alignment horizontal="left"/>
    </xf>
    <xf numFmtId="0" fontId="8" fillId="0" borderId="37" xfId="0" applyFont="1" applyBorder="1" applyAlignment="1">
      <alignment horizontal="left" wrapText="1"/>
    </xf>
    <xf numFmtId="0" fontId="8" fillId="0" borderId="54" xfId="0" applyFont="1" applyBorder="1" applyAlignment="1">
      <alignment horizontal="left" wrapText="1"/>
    </xf>
    <xf numFmtId="0" fontId="8" fillId="0" borderId="4" xfId="9" quotePrefix="1" applyFont="1" applyBorder="1" applyAlignment="1">
      <alignment horizontal="center"/>
    </xf>
    <xf numFmtId="0" fontId="8" fillId="0" borderId="6" xfId="9" quotePrefix="1" applyFont="1" applyBorder="1" applyAlignment="1">
      <alignment horizontal="center"/>
    </xf>
    <xf numFmtId="0" fontId="5" fillId="0" borderId="82" xfId="0" applyFont="1" applyBorder="1" applyAlignment="1">
      <alignment horizontal="center"/>
    </xf>
    <xf numFmtId="0" fontId="8" fillId="0" borderId="35" xfId="0" applyFont="1" applyBorder="1" applyAlignment="1">
      <alignment horizontal="left" wrapText="1"/>
    </xf>
    <xf numFmtId="0" fontId="8" fillId="0" borderId="82" xfId="0" applyFont="1" applyBorder="1" applyAlignment="1">
      <alignment horizontal="left" wrapText="1"/>
    </xf>
    <xf numFmtId="0" fontId="4" fillId="0" borderId="51" xfId="0" applyFont="1" applyBorder="1"/>
    <xf numFmtId="0" fontId="4" fillId="0" borderId="6" xfId="0" applyFont="1" applyBorder="1"/>
    <xf numFmtId="0" fontId="4" fillId="0" borderId="7" xfId="0" applyFont="1" applyBorder="1"/>
    <xf numFmtId="0" fontId="4" fillId="0" borderId="52" xfId="0" applyFont="1" applyBorder="1"/>
    <xf numFmtId="0" fontId="5" fillId="0" borderId="5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8" fillId="0" borderId="5" xfId="0" applyFont="1" applyBorder="1" applyAlignment="1">
      <alignment horizontal="center"/>
    </xf>
    <xf numFmtId="0" fontId="8" fillId="0" borderId="125" xfId="0" applyFont="1" applyBorder="1" applyAlignment="1">
      <alignment horizontal="center"/>
    </xf>
    <xf numFmtId="0" fontId="7" fillId="0" borderId="166" xfId="0" applyFont="1" applyBorder="1" applyAlignment="1">
      <alignment horizontal="right"/>
    </xf>
    <xf numFmtId="0" fontId="7" fillId="0" borderId="155" xfId="0" applyFont="1" applyBorder="1" applyAlignment="1">
      <alignment horizontal="right"/>
    </xf>
    <xf numFmtId="0" fontId="7" fillId="0" borderId="108" xfId="0" applyFont="1" applyBorder="1" applyAlignment="1">
      <alignment horizontal="right"/>
    </xf>
    <xf numFmtId="0" fontId="4" fillId="0" borderId="51" xfId="0" applyFont="1" applyBorder="1" applyAlignment="1">
      <alignment horizontal="justify"/>
    </xf>
    <xf numFmtId="0" fontId="4" fillId="0" borderId="6" xfId="0" applyFont="1" applyBorder="1" applyAlignment="1">
      <alignment horizontal="justify"/>
    </xf>
    <xf numFmtId="0" fontId="4" fillId="0" borderId="7" xfId="0" applyFont="1" applyBorder="1" applyAlignment="1">
      <alignment horizontal="justify"/>
    </xf>
    <xf numFmtId="0" fontId="8" fillId="0" borderId="95" xfId="0" applyFont="1" applyBorder="1" applyAlignment="1">
      <alignment horizontal="center"/>
    </xf>
    <xf numFmtId="0" fontId="8" fillId="0" borderId="53" xfId="0" applyFont="1" applyBorder="1" applyAlignment="1">
      <alignment horizontal="center"/>
    </xf>
    <xf numFmtId="0" fontId="8" fillId="0" borderId="55" xfId="0" applyFont="1" applyBorder="1" applyAlignment="1">
      <alignment horizontal="center"/>
    </xf>
    <xf numFmtId="0" fontId="8" fillId="0" borderId="126" xfId="0" applyFont="1" applyBorder="1" applyAlignment="1">
      <alignment horizontal="center"/>
    </xf>
    <xf numFmtId="0" fontId="4" fillId="0" borderId="37" xfId="0" applyFont="1" applyBorder="1" applyAlignment="1">
      <alignment horizontal="center"/>
    </xf>
    <xf numFmtId="0" fontId="4" fillId="0" borderId="4" xfId="0" applyFont="1" applyBorder="1" applyAlignment="1">
      <alignment horizontal="center"/>
    </xf>
    <xf numFmtId="0" fontId="4" fillId="0" borderId="54" xfId="0" applyFont="1" applyBorder="1" applyAlignment="1">
      <alignment horizontal="center"/>
    </xf>
    <xf numFmtId="0" fontId="3" fillId="0" borderId="37" xfId="0" applyFont="1" applyBorder="1" applyAlignment="1">
      <alignment horizontal="center"/>
    </xf>
    <xf numFmtId="0" fontId="3" fillId="0" borderId="4" xfId="0" applyFont="1" applyBorder="1" applyAlignment="1">
      <alignment horizontal="center"/>
    </xf>
    <xf numFmtId="0" fontId="3" fillId="0" borderId="54" xfId="0" applyFont="1" applyBorder="1" applyAlignment="1">
      <alignment horizontal="center"/>
    </xf>
    <xf numFmtId="0" fontId="8" fillId="0" borderId="37" xfId="0" applyFont="1" applyBorder="1" applyAlignment="1">
      <alignment horizontal="center"/>
    </xf>
    <xf numFmtId="0" fontId="8" fillId="0" borderId="4" xfId="0" applyFont="1" applyBorder="1" applyAlignment="1">
      <alignment horizontal="center"/>
    </xf>
    <xf numFmtId="0" fontId="8" fillId="0" borderId="54" xfId="0" applyFont="1" applyBorder="1" applyAlignment="1">
      <alignment horizontal="center"/>
    </xf>
    <xf numFmtId="0" fontId="4" fillId="0" borderId="37" xfId="0" applyFont="1" applyBorder="1" applyAlignment="1">
      <alignment horizontal="center" wrapText="1"/>
    </xf>
    <xf numFmtId="0" fontId="4" fillId="0" borderId="4" xfId="0" applyFont="1" applyBorder="1" applyAlignment="1">
      <alignment horizontal="center" wrapText="1"/>
    </xf>
    <xf numFmtId="0" fontId="4" fillId="0" borderId="54" xfId="0" applyFont="1" applyBorder="1" applyAlignment="1">
      <alignment horizontal="center" wrapText="1"/>
    </xf>
    <xf numFmtId="0" fontId="3" fillId="0" borderId="37" xfId="0" applyFont="1" applyBorder="1" applyAlignment="1">
      <alignment horizontal="center" wrapText="1"/>
    </xf>
    <xf numFmtId="0" fontId="3" fillId="0" borderId="4" xfId="0" applyFont="1" applyBorder="1" applyAlignment="1">
      <alignment horizontal="center" wrapText="1"/>
    </xf>
    <xf numFmtId="0" fontId="3" fillId="0" borderId="54" xfId="0" applyFont="1" applyBorder="1" applyAlignment="1">
      <alignment horizontal="center" wrapText="1"/>
    </xf>
    <xf numFmtId="0" fontId="8" fillId="0" borderId="1" xfId="9" applyFont="1" applyBorder="1" applyAlignment="1">
      <alignment horizontal="center"/>
    </xf>
    <xf numFmtId="0" fontId="8" fillId="0" borderId="53" xfId="9" applyFont="1" applyBorder="1" applyAlignment="1">
      <alignment horizontal="center"/>
    </xf>
    <xf numFmtId="0" fontId="8" fillId="0" borderId="15" xfId="9" applyFont="1" applyBorder="1" applyAlignment="1">
      <alignment horizontal="left"/>
    </xf>
    <xf numFmtId="0" fontId="8" fillId="0" borderId="83" xfId="9" applyFont="1" applyBorder="1" applyAlignment="1">
      <alignment horizontal="left"/>
    </xf>
    <xf numFmtId="0" fontId="3" fillId="0" borderId="169" xfId="0" applyFont="1" applyBorder="1" applyAlignment="1">
      <alignment horizontal="center" wrapText="1"/>
    </xf>
    <xf numFmtId="0" fontId="3" fillId="0" borderId="170" xfId="0" applyFont="1" applyBorder="1" applyAlignment="1">
      <alignment horizontal="center" wrapText="1"/>
    </xf>
    <xf numFmtId="0" fontId="8" fillId="0" borderId="37" xfId="9" applyFont="1" applyBorder="1" applyAlignment="1">
      <alignment horizontal="left"/>
    </xf>
    <xf numFmtId="0" fontId="8" fillId="0" borderId="54" xfId="9" applyFont="1" applyBorder="1" applyAlignment="1">
      <alignment horizontal="left"/>
    </xf>
    <xf numFmtId="0" fontId="8" fillId="0" borderId="127" xfId="9" applyFont="1" applyBorder="1" applyAlignment="1">
      <alignment horizontal="center"/>
    </xf>
    <xf numFmtId="0" fontId="8" fillId="0" borderId="27" xfId="9" applyFont="1" applyBorder="1" applyAlignment="1">
      <alignment horizontal="center"/>
    </xf>
    <xf numFmtId="0" fontId="8" fillId="0" borderId="127" xfId="9" applyFont="1" applyBorder="1" applyAlignment="1">
      <alignment horizontal="left"/>
    </xf>
    <xf numFmtId="0" fontId="4" fillId="0" borderId="80" xfId="0" applyFont="1" applyBorder="1" applyAlignment="1">
      <alignment horizontal="left" vertical="center"/>
    </xf>
    <xf numFmtId="0" fontId="4" fillId="0" borderId="4" xfId="0" applyFont="1" applyBorder="1" applyAlignment="1">
      <alignment horizontal="left" vertical="center"/>
    </xf>
    <xf numFmtId="0" fontId="4" fillId="0" borderId="54" xfId="0" applyFont="1" applyBorder="1" applyAlignment="1">
      <alignment horizontal="left" vertical="center"/>
    </xf>
    <xf numFmtId="0" fontId="3" fillId="0" borderId="168" xfId="0" applyFont="1" applyBorder="1" applyAlignment="1">
      <alignment horizontal="center" wrapText="1"/>
    </xf>
    <xf numFmtId="0" fontId="8" fillId="0" borderId="7" xfId="0" applyFont="1" applyBorder="1" applyAlignment="1">
      <alignment wrapText="1"/>
    </xf>
    <xf numFmtId="0" fontId="8" fillId="0" borderId="52" xfId="0" applyFont="1" applyBorder="1" applyAlignment="1">
      <alignment wrapText="1"/>
    </xf>
    <xf numFmtId="0" fontId="3" fillId="0" borderId="128" xfId="0" applyFont="1" applyBorder="1" applyAlignment="1">
      <alignment horizontal="center"/>
    </xf>
    <xf numFmtId="0" fontId="3" fillId="0" borderId="168" xfId="0" applyFont="1" applyBorder="1" applyAlignment="1">
      <alignment horizontal="center"/>
    </xf>
    <xf numFmtId="0" fontId="3" fillId="0" borderId="169" xfId="0" applyFont="1" applyBorder="1" applyAlignment="1">
      <alignment horizontal="center"/>
    </xf>
    <xf numFmtId="0" fontId="5" fillId="0" borderId="10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5" fillId="0" borderId="55" xfId="0" applyFont="1" applyBorder="1"/>
    <xf numFmtId="0" fontId="3" fillId="0" borderId="37"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9" fillId="0" borderId="127" xfId="0" applyFont="1" applyBorder="1" applyAlignment="1">
      <alignment horizontal="center"/>
    </xf>
    <xf numFmtId="0" fontId="9" fillId="0" borderId="27" xfId="0" applyFont="1" applyBorder="1" applyAlignment="1">
      <alignment horizontal="center"/>
    </xf>
    <xf numFmtId="165" fontId="8" fillId="4" borderId="18" xfId="0" applyNumberFormat="1" applyFont="1" applyFill="1" applyBorder="1" applyAlignment="1">
      <alignment horizontal="center" wrapText="1"/>
    </xf>
    <xf numFmtId="165" fontId="8" fillId="4" borderId="63" xfId="0" applyNumberFormat="1" applyFont="1" applyFill="1" applyBorder="1" applyAlignment="1">
      <alignment horizontal="center" wrapText="1"/>
    </xf>
    <xf numFmtId="165" fontId="8" fillId="4" borderId="17" xfId="0" applyNumberFormat="1" applyFont="1" applyFill="1" applyBorder="1" applyAlignment="1">
      <alignment horizontal="center" wrapText="1"/>
    </xf>
    <xf numFmtId="165" fontId="8" fillId="4" borderId="18" xfId="0" applyNumberFormat="1" applyFont="1" applyFill="1" applyBorder="1" applyAlignment="1">
      <alignment horizontal="center" vertical="top" wrapText="1"/>
    </xf>
    <xf numFmtId="165" fontId="8" fillId="4" borderId="63" xfId="0" applyNumberFormat="1" applyFont="1" applyFill="1" applyBorder="1" applyAlignment="1">
      <alignment horizontal="center" vertical="top" wrapText="1"/>
    </xf>
    <xf numFmtId="165" fontId="8" fillId="4" borderId="17" xfId="0" applyNumberFormat="1" applyFont="1" applyFill="1" applyBorder="1" applyAlignment="1">
      <alignment horizontal="center" vertical="top" wrapText="1"/>
    </xf>
    <xf numFmtId="165" fontId="8" fillId="0" borderId="18" xfId="0" applyNumberFormat="1" applyFont="1" applyFill="1" applyBorder="1" applyAlignment="1">
      <alignment horizontal="center" vertical="center" wrapText="1"/>
    </xf>
    <xf numFmtId="165" fontId="8" fillId="0" borderId="63" xfId="0" applyNumberFormat="1" applyFont="1" applyFill="1" applyBorder="1" applyAlignment="1">
      <alignment horizontal="center" vertical="center" wrapText="1"/>
    </xf>
    <xf numFmtId="165" fontId="8" fillId="0" borderId="17" xfId="0" applyNumberFormat="1" applyFont="1" applyFill="1" applyBorder="1" applyAlignment="1">
      <alignment horizontal="center" vertical="center" wrapText="1"/>
    </xf>
    <xf numFmtId="0" fontId="4" fillId="0" borderId="18" xfId="0" applyFont="1" applyFill="1" applyBorder="1" applyAlignment="1">
      <alignment horizontal="justify"/>
    </xf>
    <xf numFmtId="0" fontId="4" fillId="0" borderId="17" xfId="0" applyFont="1" applyFill="1" applyBorder="1" applyAlignment="1">
      <alignment horizontal="justify"/>
    </xf>
    <xf numFmtId="165" fontId="8" fillId="4" borderId="18" xfId="0" applyNumberFormat="1" applyFont="1" applyFill="1" applyBorder="1" applyAlignment="1">
      <alignment horizontal="center" vertical="center" wrapText="1"/>
    </xf>
    <xf numFmtId="165" fontId="8" fillId="4" borderId="63" xfId="0" applyNumberFormat="1" applyFont="1" applyFill="1" applyBorder="1" applyAlignment="1">
      <alignment horizontal="center" vertical="center" wrapText="1"/>
    </xf>
    <xf numFmtId="165" fontId="8" fillId="4" borderId="17" xfId="0" applyNumberFormat="1" applyFont="1" applyFill="1" applyBorder="1" applyAlignment="1">
      <alignment horizontal="center" vertical="center" wrapText="1"/>
    </xf>
    <xf numFmtId="43" fontId="8" fillId="0" borderId="23" xfId="0" applyNumberFormat="1" applyFont="1" applyBorder="1" applyAlignment="1">
      <alignment horizontal="center" wrapText="1"/>
    </xf>
    <xf numFmtId="43" fontId="8" fillId="0" borderId="177" xfId="0" applyNumberFormat="1" applyFont="1" applyBorder="1" applyAlignment="1">
      <alignment horizontal="center" wrapText="1"/>
    </xf>
    <xf numFmtId="43" fontId="8" fillId="0" borderId="16" xfId="0" applyNumberFormat="1" applyFont="1" applyBorder="1" applyAlignment="1">
      <alignment horizontal="center" wrapText="1"/>
    </xf>
    <xf numFmtId="165" fontId="8" fillId="0" borderId="18" xfId="0" applyNumberFormat="1" applyFont="1" applyFill="1" applyBorder="1" applyAlignment="1">
      <alignment horizontal="center" wrapText="1"/>
    </xf>
    <xf numFmtId="165" fontId="8" fillId="0" borderId="63" xfId="0" applyNumberFormat="1" applyFont="1" applyFill="1" applyBorder="1" applyAlignment="1">
      <alignment horizontal="center" wrapText="1"/>
    </xf>
    <xf numFmtId="165" fontId="8" fillId="0" borderId="17" xfId="0" applyNumberFormat="1" applyFont="1" applyFill="1" applyBorder="1" applyAlignment="1">
      <alignment horizontal="center" wrapText="1"/>
    </xf>
    <xf numFmtId="0" fontId="3" fillId="0" borderId="18" xfId="0" applyFont="1" applyFill="1" applyBorder="1" applyAlignment="1">
      <alignment horizontal="justify"/>
    </xf>
    <xf numFmtId="0" fontId="3" fillId="0" borderId="17" xfId="0" applyFont="1" applyFill="1" applyBorder="1" applyAlignment="1">
      <alignment horizontal="justify"/>
    </xf>
    <xf numFmtId="0" fontId="4" fillId="0" borderId="18" xfId="0" applyFont="1" applyBorder="1" applyAlignment="1">
      <alignment horizontal="left" wrapText="1"/>
    </xf>
    <xf numFmtId="0" fontId="4" fillId="0" borderId="63" xfId="0" applyFont="1" applyBorder="1" applyAlignment="1">
      <alignment horizontal="left" wrapText="1"/>
    </xf>
    <xf numFmtId="0" fontId="4" fillId="0" borderId="17" xfId="0" applyFont="1" applyBorder="1" applyAlignment="1">
      <alignment horizontal="left" wrapText="1"/>
    </xf>
    <xf numFmtId="0" fontId="3" fillId="0" borderId="63" xfId="0" applyFont="1" applyFill="1" applyBorder="1" applyAlignment="1">
      <alignment horizontal="justify"/>
    </xf>
    <xf numFmtId="0" fontId="4" fillId="0" borderId="1" xfId="0" applyFont="1" applyBorder="1" applyAlignment="1">
      <alignment wrapText="1"/>
    </xf>
    <xf numFmtId="0" fontId="4" fillId="0" borderId="82" xfId="0" applyFont="1" applyBorder="1" applyAlignment="1">
      <alignment wrapText="1"/>
    </xf>
    <xf numFmtId="0" fontId="3" fillId="0" borderId="5"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69" xfId="0" applyFont="1" applyBorder="1" applyAlignment="1">
      <alignment horizontal="center" vertical="center"/>
    </xf>
    <xf numFmtId="0" fontId="3" fillId="0" borderId="1"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4" fillId="0" borderId="4" xfId="0" applyFont="1" applyBorder="1" applyAlignment="1">
      <alignment wrapText="1"/>
    </xf>
    <xf numFmtId="0" fontId="4" fillId="0" borderId="54" xfId="0" applyFont="1" applyBorder="1" applyAlignment="1">
      <alignment wrapText="1"/>
    </xf>
    <xf numFmtId="0" fontId="9" fillId="0" borderId="116" xfId="0" applyFont="1" applyBorder="1" applyAlignment="1">
      <alignment horizontal="center"/>
    </xf>
    <xf numFmtId="0" fontId="8" fillId="0" borderId="177" xfId="0" applyFont="1" applyBorder="1" applyAlignment="1">
      <alignment horizontal="center"/>
    </xf>
    <xf numFmtId="0" fontId="8" fillId="0" borderId="16" xfId="0" applyFont="1" applyBorder="1" applyAlignment="1">
      <alignment horizontal="center"/>
    </xf>
    <xf numFmtId="0" fontId="9" fillId="0" borderId="15" xfId="0" applyFont="1" applyBorder="1" applyAlignment="1">
      <alignment horizontal="center" wrapText="1"/>
    </xf>
    <xf numFmtId="0" fontId="9" fillId="0" borderId="127" xfId="0" applyFont="1" applyBorder="1" applyAlignment="1">
      <alignment horizontal="center" wrapText="1"/>
    </xf>
    <xf numFmtId="0" fontId="9" fillId="0" borderId="27" xfId="0" applyFont="1" applyBorder="1" applyAlignment="1">
      <alignment horizontal="center" wrapText="1"/>
    </xf>
    <xf numFmtId="0" fontId="8" fillId="0" borderId="23" xfId="0" applyFont="1" applyBorder="1" applyAlignment="1">
      <alignment horizontal="center" wrapText="1"/>
    </xf>
    <xf numFmtId="0" fontId="8" fillId="0" borderId="177" xfId="0" applyFont="1" applyBorder="1" applyAlignment="1">
      <alignment horizontal="center" wrapText="1"/>
    </xf>
    <xf numFmtId="0" fontId="8" fillId="0" borderId="16" xfId="0" applyFont="1" applyBorder="1" applyAlignment="1">
      <alignment horizontal="center" wrapText="1"/>
    </xf>
    <xf numFmtId="0" fontId="8" fillId="0" borderId="18" xfId="0" applyFont="1" applyFill="1" applyBorder="1" applyAlignment="1">
      <alignment horizontal="justify"/>
    </xf>
    <xf numFmtId="0" fontId="8" fillId="0" borderId="17" xfId="0" applyFont="1" applyFill="1" applyBorder="1" applyAlignment="1">
      <alignment horizontal="justify"/>
    </xf>
    <xf numFmtId="0" fontId="25" fillId="0" borderId="78" xfId="0" applyFont="1" applyBorder="1" applyAlignment="1">
      <alignment horizontal="center" vertical="center"/>
    </xf>
    <xf numFmtId="0" fontId="25" fillId="0" borderId="33" xfId="0" applyFont="1" applyBorder="1" applyAlignment="1">
      <alignment horizontal="center" vertical="center"/>
    </xf>
    <xf numFmtId="0" fontId="25" fillId="0" borderId="112" xfId="0" applyFont="1" applyBorder="1" applyAlignment="1">
      <alignment horizontal="center" vertical="center"/>
    </xf>
    <xf numFmtId="0" fontId="25" fillId="0" borderId="11" xfId="0" applyFont="1" applyBorder="1" applyAlignment="1">
      <alignment horizontal="center" vertical="center"/>
    </xf>
    <xf numFmtId="0" fontId="3" fillId="0" borderId="162" xfId="0" applyFont="1" applyBorder="1" applyAlignment="1">
      <alignment horizontal="center"/>
    </xf>
    <xf numFmtId="0" fontId="3" fillId="0" borderId="112" xfId="0" applyFont="1" applyBorder="1" applyAlignment="1">
      <alignment horizontal="center"/>
    </xf>
    <xf numFmtId="0" fontId="3" fillId="0" borderId="11" xfId="0" applyFont="1" applyBorder="1" applyAlignment="1">
      <alignment horizontal="center"/>
    </xf>
    <xf numFmtId="0" fontId="3" fillId="0" borderId="173" xfId="0" applyFont="1" applyBorder="1" applyAlignment="1">
      <alignment horizontal="center"/>
    </xf>
    <xf numFmtId="0" fontId="4" fillId="0" borderId="161" xfId="0" applyFont="1" applyBorder="1" applyAlignment="1">
      <alignment horizontal="left" wrapText="1"/>
    </xf>
    <xf numFmtId="0" fontId="4" fillId="0" borderId="14" xfId="0" applyFont="1" applyBorder="1" applyAlignment="1">
      <alignment horizontal="left" wrapText="1"/>
    </xf>
    <xf numFmtId="0" fontId="4" fillId="0" borderId="76" xfId="0" applyFont="1" applyBorder="1" applyAlignment="1">
      <alignment horizontal="left" wrapText="1"/>
    </xf>
    <xf numFmtId="0" fontId="4" fillId="0" borderId="0" xfId="0" applyFont="1" applyBorder="1" applyAlignment="1">
      <alignment horizontal="left" wrapText="1"/>
    </xf>
    <xf numFmtId="0" fontId="3" fillId="0" borderId="76" xfId="0" applyFont="1" applyBorder="1" applyAlignment="1">
      <alignment horizontal="center"/>
    </xf>
    <xf numFmtId="0" fontId="3" fillId="0" borderId="0" xfId="0" applyFont="1" applyBorder="1" applyAlignment="1">
      <alignment horizontal="center"/>
    </xf>
    <xf numFmtId="0" fontId="3" fillId="0" borderId="81" xfId="0" applyFont="1" applyBorder="1" applyAlignment="1">
      <alignment horizontal="center"/>
    </xf>
    <xf numFmtId="0" fontId="3" fillId="0" borderId="80" xfId="0" applyFont="1" applyBorder="1" applyAlignment="1">
      <alignment horizontal="center" vertical="center"/>
    </xf>
    <xf numFmtId="0" fontId="3" fillId="0" borderId="186" xfId="0" applyFont="1" applyBorder="1" applyAlignment="1">
      <alignment horizontal="center" vertical="center"/>
    </xf>
    <xf numFmtId="0" fontId="7" fillId="0" borderId="91" xfId="0" applyFont="1" applyBorder="1" applyAlignment="1">
      <alignment horizontal="center" vertical="center"/>
    </xf>
    <xf numFmtId="0" fontId="7" fillId="0" borderId="5" xfId="0" applyFont="1" applyBorder="1" applyAlignment="1">
      <alignment horizontal="center" vertical="center"/>
    </xf>
    <xf numFmtId="0" fontId="7" fillId="0" borderId="56" xfId="0" applyFont="1" applyBorder="1" applyAlignment="1">
      <alignment horizontal="center" vertical="center"/>
    </xf>
    <xf numFmtId="0" fontId="7" fillId="0" borderId="76" xfId="0" applyFont="1" applyBorder="1" applyAlignment="1">
      <alignment horizontal="center" vertical="center"/>
    </xf>
    <xf numFmtId="0" fontId="7" fillId="0" borderId="0" xfId="0" applyFont="1" applyBorder="1" applyAlignment="1">
      <alignment horizontal="center" vertical="center"/>
    </xf>
    <xf numFmtId="0" fontId="7" fillId="0" borderId="69" xfId="0" applyFont="1" applyBorder="1" applyAlignment="1">
      <alignment horizontal="center" vertical="center"/>
    </xf>
    <xf numFmtId="0" fontId="7" fillId="0" borderId="79" xfId="0" applyFont="1" applyBorder="1" applyAlignment="1">
      <alignment horizontal="center" vertical="center"/>
    </xf>
    <xf numFmtId="0" fontId="7" fillId="0" borderId="1" xfId="0" applyFont="1" applyBorder="1" applyAlignment="1">
      <alignment horizontal="center" vertical="center"/>
    </xf>
    <xf numFmtId="0" fontId="7" fillId="0" borderId="53" xfId="0" applyFont="1" applyBorder="1" applyAlignment="1">
      <alignment horizontal="center" vertical="center"/>
    </xf>
    <xf numFmtId="0" fontId="11" fillId="0" borderId="174"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 xfId="0" applyFont="1" applyBorder="1"/>
    <xf numFmtId="0" fontId="5" fillId="0" borderId="56" xfId="0" applyFont="1" applyBorder="1"/>
    <xf numFmtId="0" fontId="5" fillId="0" borderId="35" xfId="0" applyFont="1" applyBorder="1"/>
    <xf numFmtId="0" fontId="5" fillId="0" borderId="1" xfId="0" applyFont="1" applyBorder="1"/>
    <xf numFmtId="0" fontId="5" fillId="0" borderId="53" xfId="0" applyFont="1" applyBorder="1"/>
    <xf numFmtId="0" fontId="5" fillId="0" borderId="7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5" xfId="0" applyFont="1" applyBorder="1" applyAlignment="1">
      <alignment wrapText="1"/>
    </xf>
    <xf numFmtId="0" fontId="6" fillId="0" borderId="175" xfId="0" applyFont="1" applyBorder="1" applyAlignment="1">
      <alignment horizontal="center" vertical="top" wrapText="1"/>
    </xf>
    <xf numFmtId="0" fontId="6" fillId="0" borderId="0" xfId="0" applyFont="1" applyBorder="1" applyAlignment="1">
      <alignment horizontal="center" vertical="top" wrapText="1"/>
    </xf>
    <xf numFmtId="0" fontId="6" fillId="0" borderId="81" xfId="0" applyFont="1" applyBorder="1" applyAlignment="1">
      <alignment horizontal="center" vertical="top" wrapText="1"/>
    </xf>
    <xf numFmtId="0" fontId="6" fillId="0" borderId="135" xfId="0" applyFont="1" applyBorder="1" applyAlignment="1">
      <alignment horizontal="center" vertical="top" wrapText="1"/>
    </xf>
    <xf numFmtId="0" fontId="6" fillId="0" borderId="136" xfId="0" applyFont="1" applyBorder="1" applyAlignment="1">
      <alignment horizontal="center" vertical="top" wrapText="1"/>
    </xf>
    <xf numFmtId="0" fontId="6" fillId="0" borderId="176" xfId="0" applyFont="1" applyBorder="1" applyAlignment="1">
      <alignment horizontal="center" vertical="top" wrapText="1"/>
    </xf>
    <xf numFmtId="0" fontId="7" fillId="0" borderId="104" xfId="0" applyFont="1" applyBorder="1" applyAlignment="1">
      <alignment horizontal="center" vertical="center" wrapText="1"/>
    </xf>
    <xf numFmtId="0" fontId="7" fillId="0" borderId="185"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55" xfId="0" applyFont="1" applyBorder="1" applyAlignment="1">
      <alignment horizontal="center" vertical="center" wrapText="1"/>
    </xf>
    <xf numFmtId="42" fontId="5" fillId="0" borderId="0" xfId="5" applyFont="1" applyBorder="1" applyAlignment="1">
      <alignment horizontal="center" vertical="center" wrapText="1"/>
    </xf>
    <xf numFmtId="41" fontId="8" fillId="0" borderId="0" xfId="0" applyNumberFormat="1" applyFont="1" applyBorder="1" applyAlignment="1">
      <alignment horizontal="center"/>
    </xf>
    <xf numFmtId="0" fontId="8" fillId="0" borderId="0" xfId="0" applyFont="1" applyBorder="1" applyAlignment="1">
      <alignment horizontal="center" vertical="center" wrapText="1"/>
    </xf>
    <xf numFmtId="0" fontId="8" fillId="0" borderId="187" xfId="0" applyFont="1" applyBorder="1" applyAlignment="1">
      <alignment horizontal="justify"/>
    </xf>
    <xf numFmtId="0" fontId="8" fillId="0" borderId="56" xfId="0" applyFont="1" applyBorder="1" applyAlignment="1">
      <alignment horizontal="justify"/>
    </xf>
    <xf numFmtId="43" fontId="8" fillId="0" borderId="37" xfId="0" applyNumberFormat="1" applyFont="1" applyBorder="1" applyAlignment="1">
      <alignment horizontal="center" wrapText="1"/>
    </xf>
    <xf numFmtId="43" fontId="8" fillId="0" borderId="4" xfId="0" applyNumberFormat="1" applyFont="1" applyBorder="1" applyAlignment="1">
      <alignment horizontal="center" wrapText="1"/>
    </xf>
    <xf numFmtId="43" fontId="8" fillId="0" borderId="6" xfId="0" applyNumberFormat="1" applyFont="1" applyBorder="1" applyAlignment="1">
      <alignment horizontal="center" wrapText="1"/>
    </xf>
    <xf numFmtId="41" fontId="5" fillId="0" borderId="150" xfId="2" applyFont="1" applyBorder="1" applyAlignment="1">
      <alignment horizontal="center" wrapText="1"/>
    </xf>
    <xf numFmtId="41" fontId="5" fillId="0" borderId="151" xfId="2" applyFont="1" applyBorder="1" applyAlignment="1">
      <alignment horizontal="center" wrapText="1"/>
    </xf>
    <xf numFmtId="41" fontId="5" fillId="0" borderId="145" xfId="2" applyFont="1" applyBorder="1" applyAlignment="1">
      <alignment horizontal="center" wrapText="1"/>
    </xf>
    <xf numFmtId="0" fontId="8" fillId="0" borderId="5" xfId="0" applyFont="1" applyBorder="1"/>
    <xf numFmtId="42" fontId="8" fillId="0" borderId="0" xfId="5" applyFont="1" applyBorder="1" applyAlignment="1">
      <alignment horizontal="center" wrapText="1"/>
    </xf>
    <xf numFmtId="43" fontId="8" fillId="0" borderId="5" xfId="1" applyFont="1" applyBorder="1" applyAlignment="1">
      <alignment horizontal="center"/>
    </xf>
    <xf numFmtId="0" fontId="4" fillId="0" borderId="57" xfId="0" applyFont="1" applyBorder="1" applyAlignment="1">
      <alignment horizontal="center" vertical="center" wrapText="1"/>
    </xf>
    <xf numFmtId="0" fontId="4" fillId="0" borderId="69" xfId="0" applyFont="1" applyBorder="1" applyAlignment="1">
      <alignment horizontal="center" vertical="center" wrapText="1"/>
    </xf>
    <xf numFmtId="0" fontId="3" fillId="0" borderId="129" xfId="0" applyFont="1" applyBorder="1" applyAlignment="1">
      <alignment horizontal="right"/>
    </xf>
    <xf numFmtId="0" fontId="3" fillId="0" borderId="62" xfId="0" applyFont="1" applyBorder="1" applyAlignment="1">
      <alignment horizontal="right"/>
    </xf>
    <xf numFmtId="0" fontId="3" fillId="0" borderId="61" xfId="0" applyFont="1" applyBorder="1" applyAlignment="1">
      <alignment horizontal="right"/>
    </xf>
    <xf numFmtId="0" fontId="8" fillId="0" borderId="79" xfId="0" applyFont="1" applyBorder="1" applyAlignment="1">
      <alignment horizontal="center"/>
    </xf>
    <xf numFmtId="0" fontId="8" fillId="0" borderId="1" xfId="0" applyFont="1" applyBorder="1" applyAlignment="1">
      <alignment horizontal="center"/>
    </xf>
    <xf numFmtId="0" fontId="8" fillId="0" borderId="82" xfId="0" applyFont="1" applyBorder="1" applyAlignment="1">
      <alignment horizontal="center"/>
    </xf>
    <xf numFmtId="0" fontId="8" fillId="0" borderId="5" xfId="0" applyFont="1" applyBorder="1" applyAlignment="1">
      <alignment horizontal="left" wrapText="1"/>
    </xf>
    <xf numFmtId="0" fontId="8" fillId="0" borderId="56" xfId="0" applyFont="1" applyBorder="1" applyAlignment="1">
      <alignment horizontal="left" wrapText="1"/>
    </xf>
    <xf numFmtId="0" fontId="8" fillId="0" borderId="37" xfId="9" applyFont="1" applyBorder="1" applyAlignment="1">
      <alignment horizontal="center"/>
    </xf>
    <xf numFmtId="0" fontId="8" fillId="0" borderId="37" xfId="9" quotePrefix="1" applyFont="1" applyBorder="1" applyAlignment="1">
      <alignment horizontal="center"/>
    </xf>
    <xf numFmtId="0" fontId="4" fillId="0" borderId="122" xfId="0" applyFont="1" applyBorder="1" applyAlignment="1">
      <alignment horizontal="left" vertical="center" wrapText="1"/>
    </xf>
    <xf numFmtId="0" fontId="4" fillId="10" borderId="80" xfId="0" applyFont="1" applyFill="1" applyBorder="1" applyAlignment="1">
      <alignment horizontal="center" wrapText="1"/>
    </xf>
    <xf numFmtId="0" fontId="4" fillId="10" borderId="4" xfId="0" applyFont="1" applyFill="1" applyBorder="1" applyAlignment="1">
      <alignment horizontal="center" wrapText="1"/>
    </xf>
    <xf numFmtId="0" fontId="4" fillId="10" borderId="54" xfId="0" applyFont="1" applyFill="1" applyBorder="1" applyAlignment="1">
      <alignment horizontal="center" wrapText="1"/>
    </xf>
    <xf numFmtId="0" fontId="5" fillId="0" borderId="76" xfId="0" applyFont="1" applyBorder="1" applyAlignment="1">
      <alignment horizontal="center" wrapText="1"/>
    </xf>
    <xf numFmtId="0" fontId="5" fillId="0" borderId="0" xfId="0" applyFont="1" applyBorder="1" applyAlignment="1">
      <alignment horizontal="center" wrapText="1"/>
    </xf>
    <xf numFmtId="0" fontId="5" fillId="0" borderId="69" xfId="0" applyFont="1" applyBorder="1" applyAlignment="1">
      <alignment horizontal="center" wrapText="1"/>
    </xf>
    <xf numFmtId="0" fontId="8" fillId="0" borderId="79" xfId="0" applyFont="1" applyBorder="1" applyAlignment="1">
      <alignment wrapText="1"/>
    </xf>
    <xf numFmtId="0" fontId="8" fillId="0" borderId="1" xfId="0" applyFont="1" applyBorder="1" applyAlignment="1">
      <alignment wrapText="1"/>
    </xf>
    <xf numFmtId="0" fontId="8" fillId="0" borderId="53" xfId="0" applyFont="1" applyBorder="1" applyAlignment="1">
      <alignment wrapText="1"/>
    </xf>
    <xf numFmtId="0" fontId="4" fillId="0" borderId="80" xfId="0" applyFont="1" applyBorder="1" applyAlignment="1">
      <alignment horizontal="center" wrapText="1"/>
    </xf>
    <xf numFmtId="0" fontId="4" fillId="0" borderId="6" xfId="0" applyFont="1" applyBorder="1" applyAlignment="1">
      <alignment horizontal="center" wrapText="1"/>
    </xf>
    <xf numFmtId="0" fontId="8" fillId="0" borderId="3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3" fontId="8" fillId="0" borderId="7" xfId="0" applyNumberFormat="1" applyFont="1" applyBorder="1" applyAlignment="1">
      <alignment horizontal="center" wrapText="1"/>
    </xf>
    <xf numFmtId="0" fontId="8" fillId="0" borderId="52" xfId="0" applyFont="1" applyBorder="1" applyAlignment="1">
      <alignment horizontal="center" wrapText="1"/>
    </xf>
    <xf numFmtId="9" fontId="8" fillId="0" borderId="7" xfId="0" applyNumberFormat="1" applyFont="1" applyBorder="1" applyAlignment="1">
      <alignment horizontal="center" wrapText="1"/>
    </xf>
    <xf numFmtId="0" fontId="4" fillId="0" borderId="164" xfId="0" applyFont="1" applyBorder="1" applyAlignment="1">
      <alignment horizontal="left" wrapText="1"/>
    </xf>
    <xf numFmtId="0" fontId="4" fillId="0" borderId="122" xfId="0" applyFont="1" applyBorder="1" applyAlignment="1">
      <alignment horizontal="left" wrapText="1"/>
    </xf>
    <xf numFmtId="0" fontId="11" fillId="0" borderId="17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2" xfId="0" applyFont="1" applyBorder="1" applyAlignment="1">
      <alignment horizontal="center"/>
    </xf>
    <xf numFmtId="0" fontId="6" fillId="0" borderId="81" xfId="0" applyFont="1" applyBorder="1" applyAlignment="1">
      <alignment horizontal="center" vertical="center" wrapText="1"/>
    </xf>
    <xf numFmtId="0" fontId="6" fillId="0" borderId="165" xfId="0" applyFont="1" applyBorder="1" applyAlignment="1">
      <alignment horizontal="center" vertical="center" wrapText="1"/>
    </xf>
    <xf numFmtId="0" fontId="3" fillId="0" borderId="159" xfId="0" applyFont="1" applyBorder="1" applyAlignment="1">
      <alignment horizontal="center"/>
    </xf>
    <xf numFmtId="0" fontId="4" fillId="0" borderId="80" xfId="0" applyFont="1" applyBorder="1" applyAlignment="1">
      <alignment wrapText="1"/>
    </xf>
    <xf numFmtId="0" fontId="8" fillId="0" borderId="4" xfId="0" applyFont="1" applyBorder="1" applyAlignment="1">
      <alignment horizontal="justify" vertical="center" wrapText="1"/>
    </xf>
    <xf numFmtId="0" fontId="8" fillId="0" borderId="54" xfId="0" applyFont="1" applyBorder="1" applyAlignment="1">
      <alignment horizontal="justify" vertical="center" wrapText="1"/>
    </xf>
    <xf numFmtId="9" fontId="8" fillId="0" borderId="37" xfId="0" applyNumberFormat="1" applyFont="1" applyBorder="1" applyAlignment="1">
      <alignment horizontal="center" wrapText="1"/>
    </xf>
    <xf numFmtId="164" fontId="4" fillId="0" borderId="4" xfId="0" applyNumberFormat="1" applyFont="1" applyBorder="1" applyAlignment="1">
      <alignment horizontal="left" wrapText="1"/>
    </xf>
    <xf numFmtId="164" fontId="4" fillId="0" borderId="54" xfId="0" applyNumberFormat="1" applyFont="1" applyBorder="1" applyAlignment="1">
      <alignment horizontal="left" wrapText="1"/>
    </xf>
    <xf numFmtId="0" fontId="4" fillId="0" borderId="80" xfId="0" applyFont="1" applyBorder="1" applyAlignment="1">
      <alignment vertical="center"/>
    </xf>
    <xf numFmtId="0" fontId="4" fillId="0" borderId="4" xfId="0" applyFont="1" applyBorder="1" applyAlignment="1">
      <alignment vertical="center"/>
    </xf>
    <xf numFmtId="0" fontId="3" fillId="0" borderId="80"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52" xfId="0" applyFont="1" applyBorder="1" applyAlignment="1">
      <alignment horizontal="center" wrapText="1"/>
    </xf>
    <xf numFmtId="0" fontId="5" fillId="0" borderId="116" xfId="0" applyFont="1" applyBorder="1" applyAlignment="1">
      <alignment horizontal="center" wrapText="1"/>
    </xf>
    <xf numFmtId="0" fontId="5" fillId="0" borderId="127" xfId="0" applyFont="1" applyBorder="1" applyAlignment="1">
      <alignment horizontal="center" wrapText="1"/>
    </xf>
    <xf numFmtId="0" fontId="5" fillId="0" borderId="27" xfId="0" applyFont="1" applyBorder="1" applyAlignment="1">
      <alignment horizontal="center" wrapText="1"/>
    </xf>
    <xf numFmtId="0" fontId="4" fillId="0" borderId="54" xfId="0" applyFont="1" applyBorder="1" applyAlignment="1">
      <alignment horizontal="left" wrapText="1"/>
    </xf>
    <xf numFmtId="0" fontId="3" fillId="0" borderId="91" xfId="0" applyFont="1" applyBorder="1" applyAlignment="1">
      <alignment horizontal="center" wrapText="1"/>
    </xf>
    <xf numFmtId="0" fontId="3" fillId="0" borderId="5" xfId="0" applyFont="1" applyBorder="1" applyAlignment="1">
      <alignment horizontal="center" wrapText="1"/>
    </xf>
    <xf numFmtId="0" fontId="3" fillId="0" borderId="125" xfId="0" applyFont="1" applyBorder="1" applyAlignment="1">
      <alignment horizontal="center" wrapText="1"/>
    </xf>
    <xf numFmtId="0" fontId="3" fillId="0" borderId="79" xfId="0" applyFont="1" applyBorder="1" applyAlignment="1">
      <alignment horizontal="center" wrapText="1"/>
    </xf>
    <xf numFmtId="0" fontId="3" fillId="0" borderId="1" xfId="0" applyFont="1" applyBorder="1" applyAlignment="1">
      <alignment horizontal="center" wrapText="1"/>
    </xf>
    <xf numFmtId="0" fontId="3" fillId="0" borderId="82" xfId="0" applyFont="1" applyBorder="1" applyAlignment="1">
      <alignment horizontal="center" wrapText="1"/>
    </xf>
    <xf numFmtId="0" fontId="8" fillId="0" borderId="91" xfId="0" applyFont="1" applyBorder="1" applyAlignment="1">
      <alignment horizontal="center"/>
    </xf>
    <xf numFmtId="0" fontId="8" fillId="0" borderId="56" xfId="0" applyFont="1" applyBorder="1" applyAlignment="1">
      <alignment horizontal="center"/>
    </xf>
    <xf numFmtId="0" fontId="5" fillId="0" borderId="5"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wrapText="1"/>
    </xf>
    <xf numFmtId="0" fontId="5" fillId="0" borderId="4" xfId="0" applyFont="1" applyBorder="1" applyAlignment="1">
      <alignment horizontal="center" wrapText="1"/>
    </xf>
    <xf numFmtId="0" fontId="5" fillId="0" borderId="6" xfId="0" applyFont="1" applyBorder="1" applyAlignment="1">
      <alignment horizontal="center" wrapText="1"/>
    </xf>
    <xf numFmtId="0" fontId="34" fillId="0" borderId="80" xfId="8" applyFont="1" applyBorder="1" applyAlignment="1">
      <alignment horizontal="justify"/>
    </xf>
    <xf numFmtId="0" fontId="34" fillId="0" borderId="4" xfId="8" applyFont="1" applyBorder="1" applyAlignment="1">
      <alignment horizontal="justify"/>
    </xf>
    <xf numFmtId="0" fontId="36" fillId="0" borderId="4" xfId="8" applyFont="1" applyBorder="1" applyAlignment="1">
      <alignment horizontal="center" wrapText="1"/>
    </xf>
    <xf numFmtId="0" fontId="36" fillId="0" borderId="54" xfId="8" applyFont="1" applyBorder="1" applyAlignment="1">
      <alignment horizontal="center" wrapText="1"/>
    </xf>
    <xf numFmtId="0" fontId="34" fillId="0" borderId="54" xfId="8" applyFont="1" applyBorder="1" applyAlignment="1">
      <alignment horizontal="justify"/>
    </xf>
    <xf numFmtId="0" fontId="8" fillId="0" borderId="0" xfId="0" applyFont="1" applyBorder="1" applyAlignment="1">
      <alignment horizontal="center" wrapText="1"/>
    </xf>
    <xf numFmtId="0" fontId="8" fillId="0" borderId="81" xfId="0" applyFont="1" applyBorder="1" applyAlignment="1">
      <alignment horizontal="center" wrapText="1"/>
    </xf>
    <xf numFmtId="0" fontId="36" fillId="0" borderId="4" xfId="8" applyFont="1" applyBorder="1" applyAlignment="1">
      <alignment horizontal="right" wrapText="1" indent="1"/>
    </xf>
    <xf numFmtId="0" fontId="36" fillId="0" borderId="54" xfId="8" applyFont="1" applyBorder="1" applyAlignment="1">
      <alignment horizontal="right" wrapText="1" indent="1"/>
    </xf>
    <xf numFmtId="0" fontId="13" fillId="0" borderId="0" xfId="0" applyFont="1" applyBorder="1" applyAlignment="1">
      <alignment horizontal="center"/>
    </xf>
    <xf numFmtId="0" fontId="13" fillId="0" borderId="81" xfId="0" applyFont="1" applyBorder="1" applyAlignment="1">
      <alignment horizontal="center"/>
    </xf>
    <xf numFmtId="0" fontId="3" fillId="0" borderId="186" xfId="0" applyFont="1" applyBorder="1" applyAlignment="1">
      <alignment horizontal="center" wrapText="1"/>
    </xf>
    <xf numFmtId="0" fontId="36" fillId="0" borderId="4" xfId="8" applyFont="1" applyBorder="1" applyAlignment="1">
      <alignment horizontal="center" vertical="center" wrapText="1"/>
    </xf>
    <xf numFmtId="0" fontId="36" fillId="0" borderId="54" xfId="8" applyFont="1" applyBorder="1" applyAlignment="1">
      <alignment horizontal="center" vertical="center" wrapText="1"/>
    </xf>
    <xf numFmtId="0" fontId="8" fillId="0" borderId="76" xfId="0" applyFont="1" applyBorder="1" applyAlignment="1">
      <alignment horizontal="center"/>
    </xf>
    <xf numFmtId="0" fontId="8" fillId="0" borderId="0" xfId="0" applyFont="1" applyAlignment="1">
      <alignment horizontal="center"/>
    </xf>
    <xf numFmtId="0" fontId="34" fillId="0" borderId="129" xfId="8" applyFont="1" applyBorder="1" applyAlignment="1">
      <alignment horizontal="justify"/>
    </xf>
    <xf numFmtId="0" fontId="34" fillId="0" borderId="62" xfId="8" applyFont="1" applyBorder="1" applyAlignment="1">
      <alignment horizontal="justify"/>
    </xf>
    <xf numFmtId="0" fontId="34" fillId="0" borderId="92" xfId="8" applyFont="1" applyBorder="1" applyAlignment="1">
      <alignment horizontal="justify"/>
    </xf>
    <xf numFmtId="0" fontId="4" fillId="0" borderId="116" xfId="0" applyFont="1" applyBorder="1" applyAlignment="1">
      <alignment horizontal="center"/>
    </xf>
    <xf numFmtId="0" fontId="4" fillId="0" borderId="27" xfId="0" applyFont="1" applyBorder="1" applyAlignment="1">
      <alignment horizontal="center"/>
    </xf>
    <xf numFmtId="0" fontId="4" fillId="0" borderId="80" xfId="0" applyFont="1" applyBorder="1" applyAlignment="1">
      <alignment horizontal="center"/>
    </xf>
    <xf numFmtId="0" fontId="3" fillId="0" borderId="148" xfId="0" applyFont="1" applyBorder="1" applyAlignment="1">
      <alignment horizontal="center"/>
    </xf>
    <xf numFmtId="0" fontId="3" fillId="0" borderId="118" xfId="0" applyFont="1" applyBorder="1" applyAlignment="1">
      <alignment horizontal="center"/>
    </xf>
    <xf numFmtId="0" fontId="3" fillId="0" borderId="119" xfId="0" applyFont="1" applyBorder="1" applyAlignment="1">
      <alignment horizontal="center"/>
    </xf>
    <xf numFmtId="0" fontId="5" fillId="0" borderId="129" xfId="0" applyFont="1" applyBorder="1" applyAlignment="1">
      <alignment horizontal="center"/>
    </xf>
    <xf numFmtId="0" fontId="5" fillId="0" borderId="61" xfId="0" applyFont="1" applyBorder="1" applyAlignment="1">
      <alignment horizontal="center"/>
    </xf>
    <xf numFmtId="0" fontId="5" fillId="0" borderId="98" xfId="0" applyFont="1" applyBorder="1" applyAlignment="1">
      <alignment horizontal="center" wrapText="1"/>
    </xf>
    <xf numFmtId="0" fontId="5" fillId="0" borderId="62" xfId="0" applyFont="1" applyBorder="1" applyAlignment="1">
      <alignment horizontal="center" wrapText="1"/>
    </xf>
    <xf numFmtId="0" fontId="5" fillId="0" borderId="142" xfId="0" applyFont="1" applyBorder="1" applyAlignment="1">
      <alignment horizontal="center" wrapText="1"/>
    </xf>
    <xf numFmtId="0" fontId="5" fillId="0" borderId="180" xfId="0" applyFont="1" applyBorder="1" applyAlignment="1">
      <alignment horizontal="center" wrapText="1"/>
    </xf>
    <xf numFmtId="0" fontId="8" fillId="0" borderId="117" xfId="9" applyFont="1" applyBorder="1" applyAlignment="1">
      <alignment horizontal="left"/>
    </xf>
    <xf numFmtId="0" fontId="8" fillId="0" borderId="118" xfId="9" applyFont="1" applyBorder="1" applyAlignment="1">
      <alignment horizontal="left"/>
    </xf>
    <xf numFmtId="0" fontId="8" fillId="0" borderId="124" xfId="9" applyFont="1" applyBorder="1" applyAlignment="1">
      <alignment horizontal="left"/>
    </xf>
    <xf numFmtId="0" fontId="4" fillId="0" borderId="148" xfId="0" applyFont="1" applyBorder="1" applyAlignment="1">
      <alignment horizontal="center"/>
    </xf>
    <xf numFmtId="0" fontId="4" fillId="0" borderId="124" xfId="0" applyFont="1" applyBorder="1" applyAlignment="1">
      <alignment horizontal="center"/>
    </xf>
    <xf numFmtId="0" fontId="8" fillId="0" borderId="15" xfId="9" applyFont="1" applyBorder="1" applyAlignment="1">
      <alignment horizontal="center"/>
    </xf>
    <xf numFmtId="0" fontId="8" fillId="0" borderId="117" xfId="9" applyFont="1" applyBorder="1" applyAlignment="1">
      <alignment horizontal="center"/>
    </xf>
    <xf numFmtId="0" fontId="8" fillId="0" borderId="124" xfId="9" applyFont="1" applyBorder="1" applyAlignment="1">
      <alignment horizontal="center"/>
    </xf>
    <xf numFmtId="0" fontId="4" fillId="0" borderId="9" xfId="0" applyFont="1" applyBorder="1" applyAlignment="1">
      <alignment wrapText="1"/>
    </xf>
    <xf numFmtId="0" fontId="8" fillId="0" borderId="4" xfId="0" applyFont="1" applyBorder="1" applyAlignment="1">
      <alignment horizontal="justify" wrapText="1"/>
    </xf>
    <xf numFmtId="0" fontId="8" fillId="0" borderId="54" xfId="0" applyFont="1" applyBorder="1" applyAlignment="1">
      <alignment horizontal="justify" wrapText="1"/>
    </xf>
    <xf numFmtId="0" fontId="3" fillId="0" borderId="9" xfId="0" applyFont="1" applyBorder="1" applyAlignment="1">
      <alignment horizontal="center" wrapText="1"/>
    </xf>
    <xf numFmtId="0" fontId="3" fillId="0" borderId="47" xfId="0" applyFont="1" applyBorder="1" applyAlignment="1">
      <alignment horizontal="center" wrapText="1"/>
    </xf>
    <xf numFmtId="0" fontId="4" fillId="0" borderId="181" xfId="0" applyFont="1" applyBorder="1" applyAlignment="1">
      <alignment horizontal="left" wrapText="1"/>
    </xf>
    <xf numFmtId="0" fontId="4" fillId="0" borderId="47" xfId="0" applyFont="1" applyBorder="1" applyAlignment="1">
      <alignment horizontal="justify" wrapText="1"/>
    </xf>
    <xf numFmtId="0" fontId="4" fillId="0" borderId="9" xfId="0" applyFont="1" applyBorder="1" applyAlignment="1"/>
    <xf numFmtId="0" fontId="4" fillId="0" borderId="4" xfId="0" applyFont="1" applyBorder="1" applyAlignment="1"/>
    <xf numFmtId="164" fontId="4" fillId="0" borderId="47" xfId="0" applyNumberFormat="1" applyFont="1" applyBorder="1" applyAlignment="1">
      <alignment horizontal="left" wrapText="1"/>
    </xf>
    <xf numFmtId="0" fontId="11" fillId="0" borderId="182" xfId="0" applyFont="1" applyBorder="1" applyAlignment="1">
      <alignment horizontal="center" vertical="center" wrapText="1"/>
    </xf>
    <xf numFmtId="0" fontId="11" fillId="0" borderId="183" xfId="0" applyFont="1" applyBorder="1" applyAlignment="1">
      <alignment horizontal="center" vertical="center" wrapText="1"/>
    </xf>
    <xf numFmtId="0" fontId="3" fillId="0" borderId="44" xfId="0" applyFont="1" applyBorder="1" applyAlignment="1">
      <alignment horizontal="center"/>
    </xf>
    <xf numFmtId="0" fontId="6" fillId="0" borderId="2" xfId="0" applyFont="1" applyBorder="1" applyAlignment="1">
      <alignment horizontal="center" vertical="center" wrapText="1"/>
    </xf>
    <xf numFmtId="0" fontId="6" fillId="0" borderId="159" xfId="0" applyFont="1" applyBorder="1" applyAlignment="1">
      <alignment horizontal="center" vertical="center" wrapText="1"/>
    </xf>
    <xf numFmtId="0" fontId="3" fillId="0" borderId="8" xfId="0" applyFont="1" applyBorder="1" applyAlignment="1">
      <alignment horizontal="center" wrapText="1"/>
    </xf>
    <xf numFmtId="0" fontId="4" fillId="0" borderId="9" xfId="0" applyFont="1" applyBorder="1" applyAlignment="1">
      <alignment horizontal="center" wrapText="1"/>
    </xf>
    <xf numFmtId="0" fontId="8" fillId="0" borderId="47" xfId="0" applyFont="1" applyBorder="1" applyAlignment="1">
      <alignment horizontal="center" wrapText="1"/>
    </xf>
    <xf numFmtId="0" fontId="8" fillId="0" borderId="8" xfId="0" applyFont="1" applyBorder="1" applyAlignment="1">
      <alignment horizontal="center" wrapText="1"/>
    </xf>
    <xf numFmtId="0" fontId="5" fillId="0" borderId="44" xfId="0" applyFont="1" applyBorder="1" applyAlignment="1">
      <alignment horizontal="center" wrapText="1"/>
    </xf>
    <xf numFmtId="0" fontId="8" fillId="0" borderId="12" xfId="0" applyFont="1" applyBorder="1" applyAlignment="1">
      <alignment wrapText="1"/>
    </xf>
    <xf numFmtId="0" fontId="4" fillId="10" borderId="9" xfId="0" applyFont="1" applyFill="1" applyBorder="1" applyAlignment="1">
      <alignment horizontal="center" wrapText="1"/>
    </xf>
    <xf numFmtId="0" fontId="4" fillId="10" borderId="47" xfId="0" applyFont="1" applyFill="1" applyBorder="1" applyAlignment="1">
      <alignment horizontal="center" wrapText="1"/>
    </xf>
    <xf numFmtId="0" fontId="5" fillId="0" borderId="167" xfId="0" applyFont="1" applyBorder="1" applyAlignment="1">
      <alignment horizontal="center" wrapText="1"/>
    </xf>
    <xf numFmtId="0" fontId="4" fillId="0" borderId="9" xfId="0" applyFont="1" applyBorder="1" applyAlignment="1">
      <alignment horizontal="left" wrapText="1"/>
    </xf>
    <xf numFmtId="0" fontId="4" fillId="0" borderId="47" xfId="0" applyFont="1" applyBorder="1" applyAlignment="1">
      <alignment horizontal="left" wrapText="1"/>
    </xf>
    <xf numFmtId="0" fontId="3" fillId="0" borderId="43" xfId="0" applyFont="1" applyBorder="1" applyAlignment="1">
      <alignment horizontal="center" wrapText="1"/>
    </xf>
    <xf numFmtId="0" fontId="3" fillId="0" borderId="144" xfId="0" applyFont="1" applyBorder="1" applyAlignment="1">
      <alignment horizontal="center" wrapText="1"/>
    </xf>
    <xf numFmtId="0" fontId="3" fillId="0" borderId="12" xfId="0" applyFont="1" applyBorder="1" applyAlignment="1">
      <alignment horizontal="center" wrapText="1"/>
    </xf>
    <xf numFmtId="0" fontId="3" fillId="0" borderId="3" xfId="0" applyFont="1" applyBorder="1" applyAlignment="1">
      <alignment horizontal="center" wrapText="1"/>
    </xf>
    <xf numFmtId="0" fontId="8" fillId="0" borderId="43" xfId="0" applyFont="1" applyBorder="1" applyAlignment="1">
      <alignment horizontal="center"/>
    </xf>
    <xf numFmtId="0" fontId="4" fillId="0" borderId="80" xfId="0" applyFont="1" applyBorder="1" applyAlignment="1"/>
    <xf numFmtId="0" fontId="3" fillId="0" borderId="53" xfId="0" applyFont="1" applyBorder="1" applyAlignment="1">
      <alignment horizontal="center" wrapText="1"/>
    </xf>
    <xf numFmtId="0" fontId="35" fillId="0" borderId="1" xfId="8" applyFont="1" applyBorder="1" applyAlignment="1">
      <alignment horizontal="center" wrapText="1"/>
    </xf>
    <xf numFmtId="0" fontId="35" fillId="0" borderId="82" xfId="8" applyFont="1" applyBorder="1" applyAlignment="1">
      <alignment horizontal="center" wrapText="1"/>
    </xf>
    <xf numFmtId="0" fontId="4" fillId="0" borderId="4" xfId="0" applyFont="1" applyBorder="1" applyAlignment="1">
      <alignment horizontal="left" vertical="top"/>
    </xf>
    <xf numFmtId="0" fontId="4" fillId="0" borderId="54" xfId="0" applyFont="1" applyBorder="1" applyAlignment="1">
      <alignment horizontal="left" vertical="top"/>
    </xf>
    <xf numFmtId="0" fontId="8" fillId="0" borderId="6" xfId="0" applyFont="1" applyBorder="1" applyAlignment="1">
      <alignment horizontal="center" wrapText="1"/>
    </xf>
    <xf numFmtId="164" fontId="4" fillId="0" borderId="4" xfId="0" applyNumberFormat="1" applyFont="1" applyBorder="1" applyAlignment="1">
      <alignment horizontal="center" wrapText="1"/>
    </xf>
    <xf numFmtId="0" fontId="4" fillId="0" borderId="5" xfId="0" applyFont="1" applyBorder="1" applyAlignment="1">
      <alignment vertical="top" wrapText="1"/>
    </xf>
    <xf numFmtId="0" fontId="8" fillId="0" borderId="5" xfId="0" applyFont="1" applyBorder="1" applyAlignment="1">
      <alignment vertical="top" wrapText="1"/>
    </xf>
    <xf numFmtId="0" fontId="8" fillId="0" borderId="125" xfId="0" applyFont="1" applyBorder="1" applyAlignment="1">
      <alignment vertical="top" wrapText="1"/>
    </xf>
    <xf numFmtId="0" fontId="8" fillId="0" borderId="1" xfId="0" applyFont="1" applyBorder="1" applyAlignment="1">
      <alignment vertical="top" wrapText="1"/>
    </xf>
    <xf numFmtId="0" fontId="8" fillId="0" borderId="82" xfId="0" applyFont="1" applyBorder="1" applyAlignment="1">
      <alignment vertical="top" wrapText="1"/>
    </xf>
    <xf numFmtId="0" fontId="4" fillId="0" borderId="8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9" fontId="8" fillId="0" borderId="37" xfId="0" applyNumberFormat="1" applyFont="1" applyBorder="1" applyAlignment="1">
      <alignment horizontal="center" vertical="center" wrapText="1"/>
    </xf>
    <xf numFmtId="0" fontId="8" fillId="0" borderId="54" xfId="0" applyFont="1" applyBorder="1" applyAlignment="1">
      <alignment horizontal="center" vertical="center" wrapText="1"/>
    </xf>
    <xf numFmtId="9" fontId="8" fillId="0" borderId="7" xfId="0" applyNumberFormat="1" applyFont="1" applyBorder="1" applyAlignment="1">
      <alignment horizontal="center" vertical="center" wrapText="1"/>
    </xf>
    <xf numFmtId="0" fontId="8" fillId="0" borderId="52" xfId="0" applyFont="1" applyBorder="1" applyAlignment="1">
      <alignment horizontal="center" vertical="center" wrapText="1"/>
    </xf>
    <xf numFmtId="0" fontId="15" fillId="0" borderId="4" xfId="0" applyFont="1" applyBorder="1" applyAlignment="1">
      <alignment horizontal="justify" wrapText="1"/>
    </xf>
    <xf numFmtId="0" fontId="15" fillId="0" borderId="54" xfId="0" applyFont="1" applyBorder="1" applyAlignment="1">
      <alignment horizontal="justify" wrapText="1"/>
    </xf>
    <xf numFmtId="0" fontId="4" fillId="0" borderId="4" xfId="0" applyFont="1" applyBorder="1" applyAlignment="1">
      <alignment horizontal="left" vertical="top" wrapText="1"/>
    </xf>
    <xf numFmtId="0" fontId="4" fillId="0" borderId="54" xfId="0" applyFont="1" applyBorder="1" applyAlignment="1">
      <alignment horizontal="left" vertical="top" wrapText="1"/>
    </xf>
    <xf numFmtId="0" fontId="8" fillId="0" borderId="1" xfId="0" applyFont="1" applyBorder="1" applyAlignment="1">
      <alignment horizontal="left" vertical="top" wrapText="1"/>
    </xf>
    <xf numFmtId="0" fontId="8" fillId="0" borderId="82" xfId="0" applyFont="1" applyBorder="1" applyAlignment="1">
      <alignment horizontal="left" vertical="top" wrapText="1"/>
    </xf>
    <xf numFmtId="0" fontId="3" fillId="0" borderId="105" xfId="0" applyFont="1" applyBorder="1" applyAlignment="1">
      <alignment horizontal="center" vertical="center" wrapText="1"/>
    </xf>
    <xf numFmtId="0" fontId="3" fillId="0" borderId="110" xfId="0" applyFont="1" applyBorder="1" applyAlignment="1">
      <alignment horizontal="center" vertical="center" wrapText="1"/>
    </xf>
    <xf numFmtId="0" fontId="8" fillId="3" borderId="0" xfId="0" applyFont="1" applyFill="1" applyBorder="1" applyAlignment="1">
      <alignment horizontal="center"/>
    </xf>
    <xf numFmtId="0" fontId="5" fillId="0" borderId="81" xfId="0" applyFont="1" applyBorder="1" applyAlignment="1">
      <alignment horizontal="center" wrapText="1"/>
    </xf>
    <xf numFmtId="0" fontId="8" fillId="4" borderId="57" xfId="0" applyFont="1" applyFill="1" applyBorder="1" applyAlignment="1">
      <alignment horizontal="left"/>
    </xf>
    <xf numFmtId="0" fontId="8" fillId="4" borderId="0" xfId="0" applyFont="1" applyFill="1" applyBorder="1" applyAlignment="1">
      <alignment horizontal="left"/>
    </xf>
    <xf numFmtId="0" fontId="5" fillId="0" borderId="185" xfId="0" applyFont="1" applyBorder="1" applyAlignment="1">
      <alignment horizontal="center" vertical="center" wrapText="1"/>
    </xf>
    <xf numFmtId="0" fontId="3" fillId="0" borderId="144" xfId="0" applyFont="1" applyBorder="1" applyAlignment="1">
      <alignment horizontal="center"/>
    </xf>
    <xf numFmtId="0" fontId="6" fillId="0" borderId="179" xfId="0" applyFont="1" applyBorder="1" applyAlignment="1">
      <alignment horizontal="center" vertical="center" wrapText="1"/>
    </xf>
    <xf numFmtId="0" fontId="6" fillId="0" borderId="184" xfId="0" applyFont="1" applyBorder="1" applyAlignment="1">
      <alignment horizontal="center" vertical="center" wrapText="1"/>
    </xf>
    <xf numFmtId="0" fontId="3" fillId="0" borderId="194" xfId="0" applyFont="1" applyBorder="1" applyAlignment="1">
      <alignment horizontal="center" wrapText="1"/>
    </xf>
    <xf numFmtId="9" fontId="8" fillId="0" borderId="194" xfId="0" applyNumberFormat="1" applyFont="1" applyBorder="1" applyAlignment="1">
      <alignment horizontal="center" wrapText="1"/>
    </xf>
    <xf numFmtId="9" fontId="8" fillId="0" borderId="54" xfId="0" applyNumberFormat="1" applyFont="1" applyBorder="1" applyAlignment="1">
      <alignment horizontal="center" wrapText="1"/>
    </xf>
    <xf numFmtId="3" fontId="8" fillId="0" borderId="194" xfId="0" applyNumberFormat="1" applyFont="1" applyBorder="1" applyAlignment="1">
      <alignment horizontal="center" wrapText="1"/>
    </xf>
    <xf numFmtId="3" fontId="8" fillId="0" borderId="54" xfId="0" applyNumberFormat="1" applyFont="1" applyBorder="1" applyAlignment="1">
      <alignment horizontal="center" wrapText="1"/>
    </xf>
    <xf numFmtId="0" fontId="7" fillId="0" borderId="0" xfId="0" applyFont="1" applyBorder="1" applyAlignment="1">
      <alignment horizontal="center"/>
    </xf>
    <xf numFmtId="0" fontId="7" fillId="0" borderId="81" xfId="0" applyFont="1" applyBorder="1" applyAlignment="1">
      <alignment horizontal="center"/>
    </xf>
    <xf numFmtId="0" fontId="5" fillId="0" borderId="0" xfId="0" applyFont="1" applyBorder="1" applyAlignment="1">
      <alignment horizontal="center" vertical="top" wrapText="1"/>
    </xf>
    <xf numFmtId="0" fontId="5" fillId="0" borderId="81" xfId="0" applyFont="1" applyBorder="1" applyAlignment="1">
      <alignment horizontal="center" vertical="top" wrapText="1"/>
    </xf>
    <xf numFmtId="0" fontId="5" fillId="0" borderId="5" xfId="0" applyFont="1" applyBorder="1" applyAlignment="1">
      <alignment horizontal="center" wrapText="1"/>
    </xf>
    <xf numFmtId="42" fontId="8" fillId="0" borderId="81" xfId="5" applyFont="1" applyBorder="1" applyAlignment="1">
      <alignment horizontal="center" wrapText="1"/>
    </xf>
    <xf numFmtId="0" fontId="4" fillId="0" borderId="5" xfId="0" applyFont="1" applyBorder="1" applyAlignment="1">
      <alignment horizontal="left" vertical="top" wrapText="1"/>
    </xf>
    <xf numFmtId="0" fontId="4" fillId="0" borderId="125" xfId="0" applyFont="1" applyBorder="1" applyAlignment="1">
      <alignment horizontal="left" vertical="top" wrapText="1"/>
    </xf>
    <xf numFmtId="0" fontId="3" fillId="0" borderId="105" xfId="0" applyFont="1" applyBorder="1" applyAlignment="1">
      <alignment horizontal="center" wrapText="1"/>
    </xf>
    <xf numFmtId="0" fontId="3" fillId="0" borderId="110" xfId="0" applyFont="1" applyBorder="1" applyAlignment="1">
      <alignment horizontal="center" wrapText="1"/>
    </xf>
    <xf numFmtId="3" fontId="8" fillId="0" borderId="37" xfId="0" applyNumberFormat="1" applyFont="1" applyBorder="1" applyAlignment="1">
      <alignment horizontal="center" wrapText="1"/>
    </xf>
    <xf numFmtId="0" fontId="33" fillId="0" borderId="33" xfId="8" applyFont="1" applyBorder="1" applyAlignment="1">
      <alignment horizontal="center" vertical="center" wrapText="1"/>
    </xf>
    <xf numFmtId="0" fontId="33" fillId="0" borderId="160" xfId="8" applyFont="1" applyBorder="1" applyAlignment="1">
      <alignment horizontal="center" vertical="center" wrapText="1"/>
    </xf>
    <xf numFmtId="0" fontId="33" fillId="0" borderId="178" xfId="8" applyFont="1" applyBorder="1" applyAlignment="1">
      <alignment horizontal="center" vertical="center" wrapText="1"/>
    </xf>
    <xf numFmtId="0" fontId="33" fillId="0" borderId="179" xfId="8" applyFont="1" applyBorder="1" applyAlignment="1">
      <alignment horizontal="center" vertical="center" wrapText="1"/>
    </xf>
    <xf numFmtId="0" fontId="33" fillId="0" borderId="1" xfId="8" applyFont="1" applyBorder="1" applyAlignment="1">
      <alignment horizontal="center" vertical="center" wrapText="1"/>
    </xf>
    <xf numFmtId="0" fontId="33" fillId="0" borderId="3" xfId="8" applyFont="1" applyBorder="1" applyAlignment="1">
      <alignment horizontal="center" vertical="center" wrapText="1"/>
    </xf>
    <xf numFmtId="0" fontId="37" fillId="0" borderId="91" xfId="8" applyFont="1" applyBorder="1" applyAlignment="1">
      <alignment horizontal="center"/>
    </xf>
    <xf numFmtId="0" fontId="37" fillId="0" borderId="5" xfId="8" applyFont="1" applyBorder="1" applyAlignment="1">
      <alignment horizontal="center"/>
    </xf>
    <xf numFmtId="0" fontId="37" fillId="0" borderId="144" xfId="8" applyFont="1" applyBorder="1" applyAlignment="1">
      <alignment horizontal="center"/>
    </xf>
    <xf numFmtId="0" fontId="39" fillId="0" borderId="179" xfId="8" applyFont="1" applyBorder="1" applyAlignment="1">
      <alignment horizontal="center" vertical="center" wrapText="1"/>
    </xf>
    <xf numFmtId="0" fontId="39" fillId="0" borderId="184" xfId="8" applyFont="1" applyBorder="1" applyAlignment="1">
      <alignment horizontal="center" vertical="center" wrapText="1"/>
    </xf>
    <xf numFmtId="0" fontId="37" fillId="0" borderId="112" xfId="8" applyFont="1" applyBorder="1" applyAlignment="1">
      <alignment horizontal="center"/>
    </xf>
    <xf numFmtId="0" fontId="37" fillId="0" borderId="11" xfId="8" applyFont="1" applyBorder="1" applyAlignment="1">
      <alignment horizontal="center"/>
    </xf>
    <xf numFmtId="0" fontId="37" fillId="0" borderId="159" xfId="8" applyFont="1" applyBorder="1" applyAlignment="1">
      <alignment horizontal="center"/>
    </xf>
    <xf numFmtId="0" fontId="34" fillId="0" borderId="80" xfId="8" applyFont="1" applyBorder="1" applyAlignment="1">
      <alignment wrapText="1"/>
    </xf>
    <xf numFmtId="0" fontId="34" fillId="0" borderId="4" xfId="8" applyFont="1" applyBorder="1" applyAlignment="1">
      <alignment wrapText="1"/>
    </xf>
    <xf numFmtId="0" fontId="36" fillId="0" borderId="4" xfId="8" applyFont="1" applyBorder="1" applyAlignment="1">
      <alignment horizontal="left" vertical="top"/>
    </xf>
    <xf numFmtId="0" fontId="36" fillId="0" borderId="54" xfId="8" applyFont="1" applyBorder="1" applyAlignment="1">
      <alignment horizontal="left" vertical="top"/>
    </xf>
    <xf numFmtId="0" fontId="34" fillId="0" borderId="80" xfId="8" applyFont="1" applyBorder="1" applyAlignment="1">
      <alignment horizontal="center" wrapText="1"/>
    </xf>
    <xf numFmtId="0" fontId="34" fillId="0" borderId="4" xfId="8" applyFont="1" applyBorder="1" applyAlignment="1">
      <alignment horizontal="center" wrapText="1"/>
    </xf>
    <xf numFmtId="0" fontId="34" fillId="0" borderId="186" xfId="8" applyFont="1" applyBorder="1" applyAlignment="1">
      <alignment horizontal="center" wrapText="1"/>
    </xf>
    <xf numFmtId="0" fontId="36" fillId="0" borderId="194" xfId="8" applyFont="1" applyBorder="1" applyAlignment="1">
      <alignment horizontal="center" wrapText="1"/>
    </xf>
    <xf numFmtId="0" fontId="36" fillId="0" borderId="186" xfId="8" applyFont="1" applyBorder="1" applyAlignment="1">
      <alignment horizontal="center" wrapText="1"/>
    </xf>
    <xf numFmtId="9" fontId="36" fillId="0" borderId="194" xfId="8" applyNumberFormat="1" applyFont="1" applyBorder="1" applyAlignment="1">
      <alignment horizontal="center" wrapText="1"/>
    </xf>
    <xf numFmtId="9" fontId="36" fillId="0" borderId="54" xfId="8" applyNumberFormat="1" applyFont="1" applyBorder="1" applyAlignment="1">
      <alignment horizontal="center" wrapText="1"/>
    </xf>
    <xf numFmtId="0" fontId="34" fillId="0" borderId="80" xfId="8" applyFont="1" applyBorder="1" applyAlignment="1">
      <alignment vertical="center"/>
    </xf>
    <xf numFmtId="0" fontId="34" fillId="0" borderId="4" xfId="8" applyFont="1" applyBorder="1" applyAlignment="1">
      <alignment vertical="center"/>
    </xf>
    <xf numFmtId="0" fontId="36" fillId="0" borderId="5" xfId="8" applyFont="1" applyBorder="1" applyAlignment="1">
      <alignment horizontal="left" vertical="center" wrapText="1"/>
    </xf>
    <xf numFmtId="0" fontId="36" fillId="0" borderId="125" xfId="8" applyFont="1" applyBorder="1" applyAlignment="1">
      <alignment horizontal="left" vertical="center" wrapText="1"/>
    </xf>
    <xf numFmtId="0" fontId="34" fillId="0" borderId="80" xfId="8" applyFont="1" applyBorder="1" applyAlignment="1">
      <alignment vertical="center" wrapText="1"/>
    </xf>
    <xf numFmtId="0" fontId="34" fillId="0" borderId="4" xfId="8" applyFont="1" applyBorder="1" applyAlignment="1">
      <alignment vertical="center" wrapText="1"/>
    </xf>
    <xf numFmtId="164" fontId="34" fillId="0" borderId="4" xfId="8" applyNumberFormat="1" applyFont="1" applyBorder="1" applyAlignment="1">
      <alignment horizontal="left" vertical="center" wrapText="1"/>
    </xf>
    <xf numFmtId="164" fontId="34" fillId="0" borderId="54" xfId="8" applyNumberFormat="1" applyFont="1" applyBorder="1" applyAlignment="1">
      <alignment horizontal="left" vertical="center" wrapText="1"/>
    </xf>
    <xf numFmtId="0" fontId="37" fillId="0" borderId="80" xfId="8" applyFont="1" applyBorder="1" applyAlignment="1">
      <alignment horizontal="center" wrapText="1"/>
    </xf>
    <xf numFmtId="0" fontId="37" fillId="0" borderId="4" xfId="8" applyFont="1" applyBorder="1" applyAlignment="1">
      <alignment horizontal="center" wrapText="1"/>
    </xf>
    <xf numFmtId="0" fontId="37" fillId="0" borderId="54" xfId="8" applyFont="1" applyBorder="1" applyAlignment="1">
      <alignment horizontal="center" wrapText="1"/>
    </xf>
    <xf numFmtId="0" fontId="37" fillId="0" borderId="186" xfId="8" applyFont="1" applyBorder="1" applyAlignment="1">
      <alignment horizontal="center" wrapText="1"/>
    </xf>
    <xf numFmtId="0" fontId="37" fillId="0" borderId="194" xfId="8" applyFont="1" applyBorder="1" applyAlignment="1">
      <alignment horizontal="center" wrapText="1"/>
    </xf>
    <xf numFmtId="3" fontId="36" fillId="0" borderId="194" xfId="8" applyNumberFormat="1" applyFont="1" applyBorder="1" applyAlignment="1">
      <alignment horizontal="center" wrapText="1"/>
    </xf>
    <xf numFmtId="3" fontId="36" fillId="0" borderId="54" xfId="8" applyNumberFormat="1" applyFont="1" applyBorder="1" applyAlignment="1">
      <alignment horizontal="center" wrapText="1"/>
    </xf>
    <xf numFmtId="0" fontId="36" fillId="0" borderId="4" xfId="8" applyFont="1" applyBorder="1"/>
    <xf numFmtId="0" fontId="36" fillId="0" borderId="186" xfId="8" applyFont="1" applyBorder="1"/>
    <xf numFmtId="0" fontId="34" fillId="10" borderId="80" xfId="8" applyFont="1" applyFill="1" applyBorder="1" applyAlignment="1">
      <alignment horizontal="center" wrapText="1"/>
    </xf>
    <xf numFmtId="0" fontId="34" fillId="10" borderId="4" xfId="8" applyFont="1" applyFill="1" applyBorder="1" applyAlignment="1">
      <alignment horizontal="center" wrapText="1"/>
    </xf>
    <xf numFmtId="0" fontId="34" fillId="10" borderId="54" xfId="8" applyFont="1" applyFill="1" applyBorder="1" applyAlignment="1">
      <alignment horizontal="center" wrapText="1"/>
    </xf>
    <xf numFmtId="0" fontId="34" fillId="0" borderId="80" xfId="8" applyFont="1" applyBorder="1" applyAlignment="1">
      <alignment horizontal="left" wrapText="1"/>
    </xf>
    <xf numFmtId="0" fontId="34" fillId="0" borderId="4" xfId="8" applyFont="1" applyBorder="1" applyAlignment="1">
      <alignment horizontal="left" wrapText="1"/>
    </xf>
    <xf numFmtId="0" fontId="34" fillId="0" borderId="54" xfId="8" applyFont="1" applyBorder="1" applyAlignment="1">
      <alignment horizontal="left" wrapText="1"/>
    </xf>
    <xf numFmtId="42" fontId="36" fillId="0" borderId="0" xfId="6" applyFont="1" applyBorder="1" applyAlignment="1">
      <alignment horizontal="center" wrapText="1"/>
    </xf>
    <xf numFmtId="42" fontId="36" fillId="0" borderId="81" xfId="6" applyFont="1" applyBorder="1" applyAlignment="1">
      <alignment horizontal="center" wrapText="1"/>
    </xf>
    <xf numFmtId="0" fontId="36" fillId="0" borderId="91" xfId="8" applyFont="1" applyBorder="1" applyAlignment="1">
      <alignment horizontal="center"/>
    </xf>
    <xf numFmtId="0" fontId="36" fillId="0" borderId="5" xfId="8" applyFont="1" applyBorder="1" applyAlignment="1">
      <alignment horizontal="center"/>
    </xf>
    <xf numFmtId="0" fontId="36" fillId="0" borderId="56" xfId="8" applyFont="1" applyBorder="1" applyAlignment="1">
      <alignment horizontal="center"/>
    </xf>
    <xf numFmtId="0" fontId="35" fillId="0" borderId="185" xfId="8" applyFont="1" applyBorder="1" applyAlignment="1">
      <alignment horizontal="center" vertical="center" wrapText="1"/>
    </xf>
    <xf numFmtId="0" fontId="35" fillId="0" borderId="74" xfId="8" applyFont="1" applyBorder="1" applyAlignment="1">
      <alignment horizontal="center" vertical="center" wrapText="1"/>
    </xf>
    <xf numFmtId="0" fontId="35" fillId="0" borderId="55" xfId="8" applyFont="1" applyBorder="1" applyAlignment="1">
      <alignment horizontal="center" vertical="center" wrapText="1"/>
    </xf>
    <xf numFmtId="0" fontId="35" fillId="0" borderId="194" xfId="8" applyFont="1" applyBorder="1" applyAlignment="1">
      <alignment horizontal="center" wrapText="1"/>
    </xf>
    <xf numFmtId="0" fontId="35" fillId="0" borderId="4" xfId="8" applyFont="1" applyBorder="1" applyAlignment="1">
      <alignment horizontal="center" wrapText="1"/>
    </xf>
    <xf numFmtId="0" fontId="35" fillId="0" borderId="186" xfId="8" applyFont="1" applyBorder="1" applyAlignment="1">
      <alignment horizontal="center" wrapText="1"/>
    </xf>
    <xf numFmtId="0" fontId="35" fillId="0" borderId="76" xfId="8" applyFont="1" applyBorder="1" applyAlignment="1">
      <alignment horizontal="center" wrapText="1"/>
    </xf>
    <xf numFmtId="0" fontId="35" fillId="0" borderId="0" xfId="8" applyFont="1" applyBorder="1" applyAlignment="1">
      <alignment horizontal="center" wrapText="1"/>
    </xf>
    <xf numFmtId="0" fontId="35" fillId="0" borderId="69" xfId="8" applyFont="1" applyBorder="1" applyAlignment="1">
      <alignment horizontal="center" wrapText="1"/>
    </xf>
    <xf numFmtId="0" fontId="35" fillId="0" borderId="187" xfId="8" applyFont="1" applyBorder="1" applyAlignment="1">
      <alignment horizontal="center" vertical="center" wrapText="1"/>
    </xf>
    <xf numFmtId="0" fontId="35" fillId="0" borderId="57" xfId="8" applyFont="1" applyBorder="1" applyAlignment="1">
      <alignment horizontal="center" vertical="center" wrapText="1"/>
    </xf>
    <xf numFmtId="0" fontId="35" fillId="0" borderId="35" xfId="8" applyFont="1" applyBorder="1" applyAlignment="1">
      <alignment horizontal="center" vertical="center" wrapText="1"/>
    </xf>
    <xf numFmtId="0" fontId="36" fillId="0" borderId="79" xfId="8" applyFont="1" applyBorder="1" applyAlignment="1">
      <alignment wrapText="1"/>
    </xf>
    <xf numFmtId="0" fontId="36" fillId="0" borderId="1" xfId="8" applyFont="1" applyBorder="1" applyAlignment="1">
      <alignment wrapText="1"/>
    </xf>
    <xf numFmtId="0" fontId="36" fillId="0" borderId="53" xfId="8" applyFont="1" applyBorder="1" applyAlignment="1">
      <alignment wrapText="1"/>
    </xf>
    <xf numFmtId="0" fontId="35" fillId="0" borderId="116" xfId="8" applyFont="1" applyBorder="1" applyAlignment="1">
      <alignment horizontal="center" wrapText="1"/>
    </xf>
    <xf numFmtId="0" fontId="35" fillId="0" borderId="127" xfId="8" applyFont="1" applyBorder="1" applyAlignment="1">
      <alignment horizontal="center" wrapText="1"/>
    </xf>
    <xf numFmtId="0" fontId="35" fillId="0" borderId="27" xfId="8" applyFont="1" applyBorder="1" applyAlignment="1">
      <alignment horizontal="center" wrapText="1"/>
    </xf>
    <xf numFmtId="0" fontId="36" fillId="0" borderId="0" xfId="8" applyFont="1" applyBorder="1" applyAlignment="1">
      <alignment horizontal="center" wrapText="1"/>
    </xf>
    <xf numFmtId="0" fontId="36" fillId="0" borderId="81" xfId="8" applyFont="1" applyBorder="1" applyAlignment="1">
      <alignment horizontal="center" wrapText="1"/>
    </xf>
    <xf numFmtId="0" fontId="35" fillId="0" borderId="81" xfId="8" applyFont="1" applyBorder="1" applyAlignment="1">
      <alignment horizontal="center" wrapText="1"/>
    </xf>
    <xf numFmtId="0" fontId="38" fillId="0" borderId="0" xfId="8" applyFont="1" applyBorder="1" applyAlignment="1">
      <alignment horizontal="center"/>
    </xf>
    <xf numFmtId="0" fontId="38" fillId="0" borderId="81" xfId="8" applyFont="1" applyBorder="1" applyAlignment="1">
      <alignment horizontal="center"/>
    </xf>
    <xf numFmtId="0" fontId="36" fillId="0" borderId="80" xfId="8" applyFont="1" applyBorder="1" applyAlignment="1">
      <alignment vertical="center"/>
    </xf>
    <xf numFmtId="0" fontId="36" fillId="0" borderId="4" xfId="8" applyFont="1" applyBorder="1" applyAlignment="1">
      <alignment vertical="center"/>
    </xf>
    <xf numFmtId="0" fontId="36" fillId="0" borderId="5" xfId="8" applyFont="1" applyBorder="1" applyAlignment="1">
      <alignment horizontal="left" vertical="top" wrapText="1"/>
    </xf>
    <xf numFmtId="0" fontId="36" fillId="0" borderId="125" xfId="8" applyFont="1" applyBorder="1" applyAlignment="1">
      <alignment horizontal="left" vertical="top" wrapText="1"/>
    </xf>
    <xf numFmtId="0" fontId="35" fillId="0" borderId="37" xfId="8" applyFont="1" applyBorder="1" applyAlignment="1">
      <alignment horizontal="center" wrapText="1"/>
    </xf>
    <xf numFmtId="0" fontId="37" fillId="0" borderId="79" xfId="8" applyFont="1" applyBorder="1" applyAlignment="1">
      <alignment horizontal="center" wrapText="1"/>
    </xf>
    <xf numFmtId="0" fontId="37" fillId="0" borderId="1" xfId="8" applyFont="1" applyBorder="1" applyAlignment="1">
      <alignment horizontal="center" wrapText="1"/>
    </xf>
    <xf numFmtId="0" fontId="37" fillId="0" borderId="82" xfId="8" applyFont="1" applyBorder="1" applyAlignment="1">
      <alignment horizontal="center" wrapText="1"/>
    </xf>
    <xf numFmtId="0" fontId="8" fillId="0" borderId="194" xfId="0" applyFont="1" applyBorder="1" applyAlignment="1">
      <alignment horizontal="center" wrapText="1"/>
    </xf>
    <xf numFmtId="0" fontId="8" fillId="0" borderId="186" xfId="0" applyFont="1" applyBorder="1" applyAlignment="1">
      <alignment horizontal="center" wrapText="1"/>
    </xf>
    <xf numFmtId="3" fontId="36" fillId="0" borderId="37" xfId="8" applyNumberFormat="1" applyFont="1" applyBorder="1" applyAlignment="1">
      <alignment horizontal="center" wrapText="1"/>
    </xf>
    <xf numFmtId="0" fontId="36" fillId="0" borderId="37" xfId="8" applyFont="1" applyBorder="1" applyAlignment="1">
      <alignment horizontal="center" wrapText="1"/>
    </xf>
    <xf numFmtId="9" fontId="36" fillId="0" borderId="37" xfId="8" applyNumberFormat="1" applyFont="1" applyBorder="1" applyAlignment="1">
      <alignment horizontal="center" vertical="center" wrapText="1"/>
    </xf>
    <xf numFmtId="9" fontId="36" fillId="0" borderId="54" xfId="8" applyNumberFormat="1" applyFont="1" applyBorder="1" applyAlignment="1">
      <alignment horizontal="center" vertical="center" wrapText="1"/>
    </xf>
    <xf numFmtId="9" fontId="36" fillId="0" borderId="37" xfId="8" applyNumberFormat="1" applyFont="1" applyBorder="1" applyAlignment="1">
      <alignment horizontal="center" wrapText="1"/>
    </xf>
    <xf numFmtId="0" fontId="37" fillId="0" borderId="91" xfId="8" applyFont="1" applyBorder="1" applyAlignment="1">
      <alignment horizontal="center" wrapText="1"/>
    </xf>
    <xf numFmtId="0" fontId="37" fillId="0" borderId="5" xfId="8" applyFont="1" applyBorder="1" applyAlignment="1">
      <alignment horizontal="center" wrapText="1"/>
    </xf>
    <xf numFmtId="0" fontId="37" fillId="0" borderId="125" xfId="8" applyFont="1" applyBorder="1" applyAlignment="1">
      <alignment horizontal="center" wrapText="1"/>
    </xf>
    <xf numFmtId="0" fontId="37" fillId="0" borderId="37" xfId="8" applyFont="1" applyBorder="1" applyAlignment="1">
      <alignment horizontal="center" wrapText="1"/>
    </xf>
    <xf numFmtId="0" fontId="34" fillId="0" borderId="80" xfId="8" applyFont="1" applyBorder="1" applyAlignment="1">
      <alignment horizontal="center" vertical="center" wrapText="1"/>
    </xf>
    <xf numFmtId="0" fontId="34" fillId="0" borderId="4" xfId="8" applyFont="1" applyBorder="1" applyAlignment="1">
      <alignment horizontal="center" vertical="center" wrapText="1"/>
    </xf>
    <xf numFmtId="0" fontId="34" fillId="0" borderId="4" xfId="8" applyFont="1" applyBorder="1" applyAlignment="1">
      <alignment horizontal="left" vertical="center" wrapText="1"/>
    </xf>
    <xf numFmtId="0" fontId="34" fillId="0" borderId="54" xfId="8" applyFont="1" applyBorder="1" applyAlignment="1">
      <alignment horizontal="left" vertical="center" wrapText="1"/>
    </xf>
    <xf numFmtId="0" fontId="4" fillId="0" borderId="80" xfId="0" applyFont="1" applyBorder="1" applyAlignment="1">
      <alignment vertical="center" wrapText="1"/>
    </xf>
    <xf numFmtId="0" fontId="4" fillId="0" borderId="4" xfId="0" applyFont="1" applyBorder="1" applyAlignment="1">
      <alignment vertical="center" wrapText="1"/>
    </xf>
    <xf numFmtId="0" fontId="4" fillId="0" borderId="186" xfId="0" applyFont="1" applyBorder="1" applyAlignment="1">
      <alignment horizontal="center" wrapText="1"/>
    </xf>
    <xf numFmtId="0" fontId="36" fillId="0" borderId="194" xfId="0" applyFont="1" applyBorder="1" applyAlignment="1">
      <alignment horizontal="center" wrapText="1"/>
    </xf>
    <xf numFmtId="0" fontId="36" fillId="0" borderId="4" xfId="0" applyFont="1" applyBorder="1" applyAlignment="1">
      <alignment horizontal="center" wrapText="1"/>
    </xf>
    <xf numFmtId="0" fontId="36" fillId="0" borderId="186" xfId="0" applyFont="1" applyBorder="1" applyAlignment="1">
      <alignment horizontal="center" wrapText="1"/>
    </xf>
    <xf numFmtId="9" fontId="8" fillId="0" borderId="194" xfId="0" applyNumberFormat="1" applyFont="1" applyBorder="1" applyAlignment="1">
      <alignment horizontal="center" vertical="center" wrapText="1"/>
    </xf>
    <xf numFmtId="9" fontId="8" fillId="0" borderId="54" xfId="0" applyNumberFormat="1" applyFont="1" applyBorder="1" applyAlignment="1">
      <alignment horizontal="center" vertical="center" wrapText="1"/>
    </xf>
    <xf numFmtId="0" fontId="34" fillId="0" borderId="4" xfId="8" applyFont="1" applyBorder="1" applyAlignment="1">
      <alignment horizontal="left" vertical="top" wrapText="1"/>
    </xf>
    <xf numFmtId="0" fontId="34" fillId="0" borderId="54" xfId="8" applyFont="1" applyBorder="1" applyAlignment="1">
      <alignment horizontal="left" vertical="top" wrapText="1"/>
    </xf>
    <xf numFmtId="0" fontId="4" fillId="0" borderId="186" xfId="0" applyFont="1" applyBorder="1" applyAlignment="1">
      <alignment horizontal="center" vertical="center" wrapText="1"/>
    </xf>
    <xf numFmtId="0" fontId="36" fillId="0" borderId="194"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86" xfId="0" applyFont="1" applyBorder="1" applyAlignment="1">
      <alignment horizontal="center" vertical="center" wrapText="1"/>
    </xf>
    <xf numFmtId="0" fontId="34" fillId="0" borderId="80" xfId="0" applyFont="1" applyBorder="1" applyAlignment="1">
      <alignment horizontal="left" wrapText="1"/>
    </xf>
    <xf numFmtId="0" fontId="34" fillId="0" borderId="4" xfId="0" applyFont="1" applyBorder="1" applyAlignment="1">
      <alignment horizontal="left" wrapText="1"/>
    </xf>
    <xf numFmtId="0" fontId="34" fillId="0" borderId="54" xfId="0" applyFont="1" applyBorder="1" applyAlignment="1">
      <alignment horizontal="left" wrapText="1"/>
    </xf>
    <xf numFmtId="42" fontId="8" fillId="0" borderId="0" xfId="14" applyFont="1" applyBorder="1" applyAlignment="1">
      <alignment horizontal="center" wrapText="1"/>
    </xf>
    <xf numFmtId="42" fontId="8" fillId="0" borderId="81" xfId="14" applyFont="1" applyBorder="1" applyAlignment="1">
      <alignment horizontal="center" wrapText="1"/>
    </xf>
    <xf numFmtId="0" fontId="5" fillId="0" borderId="239" xfId="0" applyFont="1" applyBorder="1" applyAlignment="1">
      <alignment horizontal="center" vertical="center" wrapText="1"/>
    </xf>
    <xf numFmtId="0" fontId="5" fillId="0" borderId="194" xfId="0" applyFont="1" applyBorder="1" applyAlignment="1">
      <alignment horizontal="center" wrapText="1"/>
    </xf>
    <xf numFmtId="0" fontId="5" fillId="0" borderId="186" xfId="0" applyFont="1" applyBorder="1" applyAlignment="1">
      <alignment horizontal="center" wrapText="1"/>
    </xf>
    <xf numFmtId="0" fontId="5" fillId="0" borderId="240" xfId="0" applyFont="1" applyBorder="1" applyAlignment="1">
      <alignment horizontal="center" vertical="center" wrapText="1"/>
    </xf>
    <xf numFmtId="0" fontId="4" fillId="0" borderId="186" xfId="0" applyFont="1" applyBorder="1" applyAlignment="1">
      <alignment horizontal="center"/>
    </xf>
    <xf numFmtId="0" fontId="8" fillId="0" borderId="194" xfId="9" applyFont="1" applyBorder="1" applyAlignment="1">
      <alignment horizontal="center"/>
    </xf>
    <xf numFmtId="0" fontId="8" fillId="0" borderId="186" xfId="9" applyFont="1" applyBorder="1" applyAlignment="1">
      <alignment horizontal="center"/>
    </xf>
    <xf numFmtId="0" fontId="8" fillId="0" borderId="194" xfId="9" quotePrefix="1" applyFont="1" applyBorder="1" applyAlignment="1">
      <alignment horizontal="center"/>
    </xf>
    <xf numFmtId="0" fontId="8" fillId="0" borderId="186" xfId="9" quotePrefix="1" applyFont="1" applyBorder="1" applyAlignment="1">
      <alignment horizontal="center"/>
    </xf>
    <xf numFmtId="0" fontId="5" fillId="0" borderId="187" xfId="0" applyFont="1" applyBorder="1" applyAlignment="1">
      <alignment horizontal="center" vertical="center" wrapText="1"/>
    </xf>
    <xf numFmtId="9" fontId="36" fillId="0" borderId="194" xfId="0" applyNumberFormat="1" applyFont="1" applyBorder="1" applyAlignment="1">
      <alignment horizontal="center" vertical="center" wrapText="1"/>
    </xf>
    <xf numFmtId="9" fontId="36" fillId="0" borderId="54" xfId="0" applyNumberFormat="1" applyFont="1" applyBorder="1" applyAlignment="1">
      <alignment horizontal="center" vertical="center" wrapText="1"/>
    </xf>
    <xf numFmtId="9" fontId="36" fillId="0" borderId="194" xfId="0" applyNumberFormat="1" applyFont="1" applyBorder="1" applyAlignment="1">
      <alignment horizontal="center" wrapText="1"/>
    </xf>
    <xf numFmtId="9" fontId="36" fillId="0" borderId="54" xfId="0" applyNumberFormat="1" applyFont="1" applyBorder="1" applyAlignment="1">
      <alignment horizontal="center" wrapText="1"/>
    </xf>
    <xf numFmtId="0" fontId="5" fillId="0" borderId="122" xfId="0" applyFont="1" applyBorder="1" applyAlignment="1">
      <alignment horizontal="left" wrapText="1"/>
    </xf>
    <xf numFmtId="0" fontId="5" fillId="0" borderId="123" xfId="0" applyFont="1" applyBorder="1" applyAlignment="1">
      <alignment horizontal="left" wrapText="1"/>
    </xf>
    <xf numFmtId="0" fontId="7" fillId="0" borderId="4" xfId="0" applyFont="1" applyBorder="1" applyAlignment="1">
      <alignment horizontal="left"/>
    </xf>
    <xf numFmtId="0" fontId="7" fillId="0" borderId="54" xfId="0" applyFont="1" applyBorder="1" applyAlignment="1">
      <alignment horizontal="left"/>
    </xf>
    <xf numFmtId="42" fontId="8" fillId="0" borderId="0" xfId="6" applyFont="1" applyBorder="1" applyAlignment="1">
      <alignment horizontal="center" wrapText="1"/>
    </xf>
    <xf numFmtId="42" fontId="8" fillId="0" borderId="81" xfId="6" applyFont="1" applyBorder="1" applyAlignment="1">
      <alignment horizontal="center" wrapText="1"/>
    </xf>
    <xf numFmtId="0" fontId="5" fillId="0" borderId="242" xfId="0" applyFont="1" applyBorder="1" applyAlignment="1">
      <alignment horizontal="center" vertical="center" wrapText="1"/>
    </xf>
    <xf numFmtId="0" fontId="34" fillId="0" borderId="80" xfId="0" applyFont="1" applyBorder="1" applyAlignment="1">
      <alignment horizontal="center" wrapText="1"/>
    </xf>
    <xf numFmtId="0" fontId="34" fillId="0" borderId="4" xfId="0" applyFont="1" applyBorder="1" applyAlignment="1">
      <alignment horizontal="center" wrapText="1"/>
    </xf>
    <xf numFmtId="0" fontId="34" fillId="0" borderId="186" xfId="0" applyFont="1" applyBorder="1" applyAlignment="1">
      <alignment horizontal="center" wrapText="1"/>
    </xf>
    <xf numFmtId="3" fontId="36" fillId="0" borderId="37" xfId="0" applyNumberFormat="1" applyFont="1" applyBorder="1" applyAlignment="1">
      <alignment horizontal="center" wrapText="1"/>
    </xf>
    <xf numFmtId="3" fontId="36" fillId="0" borderId="54" xfId="0" applyNumberFormat="1" applyFont="1" applyBorder="1" applyAlignment="1">
      <alignment horizontal="center" wrapText="1"/>
    </xf>
    <xf numFmtId="9" fontId="36" fillId="0" borderId="37" xfId="0" applyNumberFormat="1" applyFont="1" applyBorder="1" applyAlignment="1">
      <alignment horizontal="center" wrapText="1"/>
    </xf>
    <xf numFmtId="0" fontId="34" fillId="10" borderId="80" xfId="0" applyFont="1" applyFill="1" applyBorder="1" applyAlignment="1">
      <alignment horizontal="center" wrapText="1"/>
    </xf>
    <xf numFmtId="0" fontId="34" fillId="10" borderId="4" xfId="0" applyFont="1" applyFill="1" applyBorder="1" applyAlignment="1">
      <alignment horizontal="center" wrapText="1"/>
    </xf>
    <xf numFmtId="0" fontId="34" fillId="10" borderId="54" xfId="0" applyFont="1" applyFill="1" applyBorder="1" applyAlignment="1">
      <alignment horizontal="center" wrapText="1"/>
    </xf>
    <xf numFmtId="0" fontId="36" fillId="0" borderId="37" xfId="0" applyFont="1" applyBorder="1" applyAlignment="1">
      <alignment horizontal="center" wrapText="1"/>
    </xf>
    <xf numFmtId="9" fontId="36" fillId="0" borderId="37" xfId="0" applyNumberFormat="1" applyFont="1" applyBorder="1" applyAlignment="1">
      <alignment horizontal="center" vertical="center" wrapText="1"/>
    </xf>
    <xf numFmtId="0" fontId="3" fillId="0" borderId="4" xfId="0" applyFont="1" applyBorder="1" applyAlignment="1">
      <alignment horizontal="justify" wrapText="1"/>
    </xf>
    <xf numFmtId="0" fontId="3" fillId="0" borderId="54" xfId="0" applyFont="1" applyBorder="1" applyAlignment="1">
      <alignment horizontal="justify" wrapText="1"/>
    </xf>
    <xf numFmtId="0" fontId="5" fillId="0" borderId="4" xfId="0" applyFont="1" applyBorder="1" applyAlignment="1">
      <alignment horizontal="justify" wrapText="1"/>
    </xf>
    <xf numFmtId="0" fontId="5" fillId="0" borderId="54" xfId="0" applyFont="1" applyBorder="1" applyAlignment="1">
      <alignment horizontal="justify" wrapText="1"/>
    </xf>
    <xf numFmtId="0" fontId="4" fillId="0" borderId="5" xfId="0" applyFont="1" applyBorder="1" applyAlignment="1">
      <alignment horizontal="left" vertical="center" wrapText="1"/>
    </xf>
    <xf numFmtId="0" fontId="4" fillId="0" borderId="125" xfId="0" applyFont="1" applyBorder="1" applyAlignment="1">
      <alignment horizontal="left" vertical="center" wrapText="1"/>
    </xf>
    <xf numFmtId="0" fontId="8" fillId="10" borderId="80" xfId="0" applyFont="1" applyFill="1" applyBorder="1" applyAlignment="1">
      <alignment horizontal="center" wrapText="1"/>
    </xf>
    <xf numFmtId="0" fontId="8" fillId="10" borderId="4" xfId="0" applyFont="1" applyFill="1" applyBorder="1" applyAlignment="1">
      <alignment horizontal="center" wrapText="1"/>
    </xf>
    <xf numFmtId="0" fontId="8" fillId="10" borderId="54" xfId="0" applyFont="1" applyFill="1" applyBorder="1" applyAlignment="1">
      <alignment horizontal="center" wrapText="1"/>
    </xf>
    <xf numFmtId="42" fontId="5" fillId="0" borderId="0" xfId="14" applyFont="1" applyBorder="1" applyAlignment="1">
      <alignment horizontal="center" wrapText="1"/>
    </xf>
    <xf numFmtId="42" fontId="5" fillId="0" borderId="81" xfId="14" applyFont="1" applyBorder="1" applyAlignment="1">
      <alignment horizontal="center" wrapText="1"/>
    </xf>
    <xf numFmtId="0" fontId="8" fillId="6" borderId="80" xfId="0" applyFont="1" applyFill="1" applyBorder="1" applyAlignment="1">
      <alignment horizontal="left" wrapText="1"/>
    </xf>
    <xf numFmtId="0" fontId="8" fillId="6" borderId="4" xfId="0" applyFont="1" applyFill="1" applyBorder="1" applyAlignment="1">
      <alignment horizontal="left" wrapText="1"/>
    </xf>
    <xf numFmtId="0" fontId="8" fillId="6" borderId="54" xfId="0" applyFont="1" applyFill="1" applyBorder="1" applyAlignment="1">
      <alignment horizontal="left" wrapText="1"/>
    </xf>
    <xf numFmtId="0" fontId="5" fillId="0" borderId="91" xfId="0" applyFont="1" applyBorder="1" applyAlignment="1">
      <alignment horizontal="center" wrapText="1"/>
    </xf>
    <xf numFmtId="0" fontId="5" fillId="0" borderId="125" xfId="0" applyFont="1" applyBorder="1" applyAlignment="1">
      <alignment horizontal="center" wrapText="1"/>
    </xf>
    <xf numFmtId="0" fontId="5" fillId="0" borderId="79" xfId="0" applyFont="1" applyBorder="1" applyAlignment="1">
      <alignment horizontal="center" wrapText="1"/>
    </xf>
    <xf numFmtId="0" fontId="5" fillId="0" borderId="1" xfId="0" applyFont="1" applyBorder="1" applyAlignment="1">
      <alignment horizontal="center" wrapText="1"/>
    </xf>
    <xf numFmtId="0" fontId="5" fillId="0" borderId="82" xfId="0" applyFont="1" applyBorder="1" applyAlignment="1">
      <alignment horizontal="center" wrapText="1"/>
    </xf>
    <xf numFmtId="0" fontId="8" fillId="6" borderId="80"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86" xfId="0" applyFont="1" applyFill="1" applyBorder="1" applyAlignment="1">
      <alignment horizontal="center" vertical="center" wrapText="1"/>
    </xf>
    <xf numFmtId="0" fontId="36" fillId="6" borderId="194"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186" xfId="0" applyFont="1" applyFill="1" applyBorder="1" applyAlignment="1">
      <alignment horizontal="center" vertical="center" wrapText="1"/>
    </xf>
    <xf numFmtId="9" fontId="8" fillId="6" borderId="194" xfId="0" applyNumberFormat="1" applyFont="1" applyFill="1" applyBorder="1" applyAlignment="1">
      <alignment horizontal="center" vertical="center" wrapText="1"/>
    </xf>
    <xf numFmtId="9" fontId="8" fillId="6" borderId="54" xfId="0" applyNumberFormat="1" applyFont="1" applyFill="1" applyBorder="1" applyAlignment="1">
      <alignment horizontal="center" vertical="center" wrapText="1"/>
    </xf>
    <xf numFmtId="0" fontId="8" fillId="6" borderId="80" xfId="0" applyFont="1" applyFill="1" applyBorder="1" applyAlignment="1">
      <alignment horizontal="center" wrapText="1"/>
    </xf>
    <xf numFmtId="0" fontId="8" fillId="6" borderId="4" xfId="0" applyFont="1" applyFill="1" applyBorder="1" applyAlignment="1">
      <alignment horizontal="center" wrapText="1"/>
    </xf>
    <xf numFmtId="0" fontId="8" fillId="6" borderId="186" xfId="0" applyFont="1" applyFill="1" applyBorder="1" applyAlignment="1">
      <alignment horizontal="center" wrapText="1"/>
    </xf>
    <xf numFmtId="9" fontId="8" fillId="6" borderId="194" xfId="0" applyNumberFormat="1" applyFont="1" applyFill="1" applyBorder="1" applyAlignment="1">
      <alignment horizontal="center" wrapText="1"/>
    </xf>
    <xf numFmtId="9" fontId="8" fillId="6" borderId="54" xfId="0" applyNumberFormat="1" applyFont="1" applyFill="1" applyBorder="1" applyAlignment="1">
      <alignment horizontal="center" wrapText="1"/>
    </xf>
    <xf numFmtId="3" fontId="8" fillId="6" borderId="194" xfId="0" applyNumberFormat="1" applyFont="1" applyFill="1" applyBorder="1" applyAlignment="1">
      <alignment horizontal="center" wrapText="1"/>
    </xf>
    <xf numFmtId="3" fontId="8" fillId="6" borderId="54" xfId="0" applyNumberFormat="1" applyFont="1" applyFill="1" applyBorder="1" applyAlignment="1">
      <alignment horizontal="center" wrapText="1"/>
    </xf>
    <xf numFmtId="0" fontId="8" fillId="0" borderId="80" xfId="0" applyFont="1" applyBorder="1" applyAlignment="1">
      <alignment wrapText="1"/>
    </xf>
    <xf numFmtId="0" fontId="8" fillId="0" borderId="4" xfId="0" applyFont="1" applyBorder="1" applyAlignment="1">
      <alignment wrapText="1"/>
    </xf>
    <xf numFmtId="0" fontId="5" fillId="0" borderId="80" xfId="0" applyFont="1" applyBorder="1" applyAlignment="1">
      <alignment horizontal="center" wrapText="1"/>
    </xf>
    <xf numFmtId="0" fontId="5" fillId="0" borderId="54" xfId="0" applyFont="1" applyBorder="1" applyAlignment="1">
      <alignment horizontal="center" wrapText="1"/>
    </xf>
    <xf numFmtId="0" fontId="8" fillId="0" borderId="80" xfId="0" applyFont="1" applyBorder="1" applyAlignment="1">
      <alignment vertical="center"/>
    </xf>
    <xf numFmtId="0" fontId="8" fillId="0" borderId="4" xfId="0" applyFont="1" applyBorder="1" applyAlignment="1">
      <alignment vertical="center"/>
    </xf>
    <xf numFmtId="0" fontId="4" fillId="0" borderId="0" xfId="0" applyFont="1" applyBorder="1" applyAlignment="1">
      <alignment horizontal="left" vertical="top"/>
    </xf>
    <xf numFmtId="0" fontId="8" fillId="0" borderId="80" xfId="0" applyFont="1" applyBorder="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left" vertical="center" wrapText="1"/>
    </xf>
    <xf numFmtId="164" fontId="8" fillId="0" borderId="54"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125" xfId="0" applyFont="1" applyBorder="1" applyAlignment="1">
      <alignment horizontal="left" vertical="center" wrapText="1"/>
    </xf>
    <xf numFmtId="0" fontId="8" fillId="0" borderId="164" xfId="0" applyFont="1" applyBorder="1" applyAlignment="1">
      <alignment horizontal="left" wrapText="1"/>
    </xf>
    <xf numFmtId="0" fontId="8" fillId="0" borderId="122" xfId="0" applyFont="1" applyBorder="1" applyAlignment="1">
      <alignment horizontal="left" wrapText="1"/>
    </xf>
    <xf numFmtId="0" fontId="47" fillId="0" borderId="91" xfId="0" applyFont="1" applyBorder="1" applyAlignment="1">
      <alignment horizontal="center"/>
    </xf>
    <xf numFmtId="0" fontId="47" fillId="0" borderId="5" xfId="0" applyFont="1" applyBorder="1" applyAlignment="1">
      <alignment horizontal="center"/>
    </xf>
    <xf numFmtId="0" fontId="47" fillId="0" borderId="144" xfId="0" applyFont="1" applyBorder="1" applyAlignment="1">
      <alignment horizontal="center"/>
    </xf>
    <xf numFmtId="0" fontId="47" fillId="0" borderId="33" xfId="0" applyFont="1" applyBorder="1" applyAlignment="1">
      <alignment horizontal="center" vertical="center" wrapText="1"/>
    </xf>
    <xf numFmtId="0" fontId="47" fillId="0" borderId="16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36" fillId="6" borderId="194" xfId="0" applyFont="1" applyFill="1" applyBorder="1" applyAlignment="1">
      <alignment horizontal="center" wrapText="1"/>
    </xf>
    <xf numFmtId="0" fontId="36" fillId="6" borderId="4" xfId="0" applyFont="1" applyFill="1" applyBorder="1" applyAlignment="1">
      <alignment horizontal="center" wrapText="1"/>
    </xf>
    <xf numFmtId="0" fontId="36" fillId="6" borderId="186" xfId="0" applyFont="1" applyFill="1" applyBorder="1" applyAlignment="1">
      <alignment horizontal="center" wrapText="1"/>
    </xf>
    <xf numFmtId="0" fontId="34" fillId="6" borderId="80" xfId="0" applyFont="1" applyFill="1" applyBorder="1" applyAlignment="1">
      <alignment horizontal="left" wrapText="1"/>
    </xf>
    <xf numFmtId="0" fontId="34" fillId="6" borderId="4" xfId="0" applyFont="1" applyFill="1" applyBorder="1" applyAlignment="1">
      <alignment horizontal="left" wrapText="1"/>
    </xf>
    <xf numFmtId="0" fontId="34" fillId="6" borderId="54" xfId="0" applyFont="1" applyFill="1" applyBorder="1" applyAlignment="1">
      <alignment horizontal="left" wrapText="1"/>
    </xf>
    <xf numFmtId="164" fontId="34" fillId="0" borderId="4" xfId="8" applyNumberFormat="1" applyFont="1" applyBorder="1" applyAlignment="1">
      <alignment horizontal="left" wrapText="1"/>
    </xf>
    <xf numFmtId="164" fontId="34" fillId="0" borderId="54" xfId="8" applyNumberFormat="1" applyFont="1" applyBorder="1" applyAlignment="1">
      <alignment horizontal="left" wrapText="1"/>
    </xf>
    <xf numFmtId="0" fontId="36" fillId="6" borderId="194" xfId="8" applyFont="1" applyFill="1" applyBorder="1" applyAlignment="1">
      <alignment horizontal="center" wrapText="1"/>
    </xf>
    <xf numFmtId="0" fontId="36" fillId="6" borderId="4" xfId="8" applyFont="1" applyFill="1" applyBorder="1" applyAlignment="1">
      <alignment horizontal="center" wrapText="1"/>
    </xf>
    <xf numFmtId="0" fontId="36" fillId="6" borderId="186" xfId="8" applyFont="1" applyFill="1" applyBorder="1" applyAlignment="1">
      <alignment horizontal="center" wrapText="1"/>
    </xf>
    <xf numFmtId="9" fontId="36" fillId="0" borderId="194" xfId="8" applyNumberFormat="1" applyFont="1" applyBorder="1" applyAlignment="1">
      <alignment horizontal="center" vertical="center" wrapText="1"/>
    </xf>
    <xf numFmtId="0" fontId="36" fillId="6" borderId="4" xfId="8" applyFont="1" applyFill="1" applyBorder="1"/>
    <xf numFmtId="0" fontId="36" fillId="6" borderId="186" xfId="8" applyFont="1" applyFill="1" applyBorder="1"/>
    <xf numFmtId="0" fontId="34" fillId="6" borderId="80" xfId="8" applyFont="1" applyFill="1" applyBorder="1" applyAlignment="1">
      <alignment horizontal="left" wrapText="1"/>
    </xf>
    <xf numFmtId="0" fontId="34" fillId="6" borderId="4" xfId="8" applyFont="1" applyFill="1" applyBorder="1" applyAlignment="1">
      <alignment horizontal="left" wrapText="1"/>
    </xf>
    <xf numFmtId="0" fontId="34" fillId="6" borderId="54" xfId="8" applyFont="1" applyFill="1" applyBorder="1" applyAlignment="1">
      <alignment horizontal="left" wrapText="1"/>
    </xf>
    <xf numFmtId="42" fontId="35" fillId="0" borderId="0" xfId="14" applyFont="1" applyBorder="1" applyAlignment="1">
      <alignment horizontal="center" wrapText="1"/>
    </xf>
    <xf numFmtId="42" fontId="35" fillId="0" borderId="81" xfId="14" applyFont="1" applyBorder="1" applyAlignment="1">
      <alignment horizontal="center" wrapText="1"/>
    </xf>
    <xf numFmtId="0" fontId="36" fillId="0" borderId="0" xfId="8" applyFont="1" applyAlignment="1">
      <alignment horizontal="left" vertical="center"/>
    </xf>
    <xf numFmtId="0" fontId="34" fillId="0" borderId="4" xfId="8" applyFont="1" applyBorder="1" applyAlignment="1">
      <alignment horizontal="left" vertical="center"/>
    </xf>
    <xf numFmtId="0" fontId="34" fillId="0" borderId="54" xfId="8" applyFont="1" applyBorder="1" applyAlignment="1">
      <alignment horizontal="left" vertical="center"/>
    </xf>
    <xf numFmtId="0" fontId="8" fillId="6" borderId="194" xfId="0" applyFont="1" applyFill="1" applyBorder="1" applyAlignment="1">
      <alignment horizontal="center" wrapText="1"/>
    </xf>
    <xf numFmtId="0" fontId="4" fillId="6" borderId="80" xfId="0" applyFont="1" applyFill="1" applyBorder="1" applyAlignment="1">
      <alignment horizontal="left" wrapText="1"/>
    </xf>
    <xf numFmtId="0" fontId="4" fillId="6" borderId="4" xfId="0" applyFont="1" applyFill="1" applyBorder="1" applyAlignment="1">
      <alignment horizontal="left" wrapText="1"/>
    </xf>
    <xf numFmtId="0" fontId="4" fillId="6" borderId="54" xfId="0" applyFont="1" applyFill="1" applyBorder="1" applyAlignment="1">
      <alignment horizontal="left" wrapText="1"/>
    </xf>
    <xf numFmtId="0" fontId="3" fillId="0" borderId="116" xfId="0" applyFont="1" applyBorder="1" applyAlignment="1">
      <alignment vertical="center"/>
    </xf>
    <xf numFmtId="0" fontId="3" fillId="0" borderId="127" xfId="0" applyFont="1" applyBorder="1" applyAlignment="1">
      <alignment vertical="center"/>
    </xf>
    <xf numFmtId="0" fontId="3" fillId="0" borderId="27" xfId="0" applyFont="1" applyBorder="1" applyAlignment="1">
      <alignment vertical="center"/>
    </xf>
    <xf numFmtId="0" fontId="1" fillId="0" borderId="91" xfId="0" applyFont="1" applyBorder="1" applyAlignment="1">
      <alignment horizontal="center"/>
    </xf>
    <xf numFmtId="0" fontId="1" fillId="0" borderId="5" xfId="0" applyFont="1" applyBorder="1" applyAlignment="1">
      <alignment horizontal="center"/>
    </xf>
    <xf numFmtId="0" fontId="1" fillId="0" borderId="56" xfId="0" applyFont="1" applyBorder="1" applyAlignment="1">
      <alignment horizontal="center"/>
    </xf>
    <xf numFmtId="3" fontId="2" fillId="0" borderId="194" xfId="0" applyNumberFormat="1" applyFont="1" applyBorder="1" applyAlignment="1">
      <alignment horizontal="center" wrapText="1"/>
    </xf>
    <xf numFmtId="3" fontId="2" fillId="0" borderId="54" xfId="0" applyNumberFormat="1" applyFont="1" applyBorder="1" applyAlignment="1">
      <alignment horizontal="center" wrapText="1"/>
    </xf>
    <xf numFmtId="0" fontId="8" fillId="6" borderId="194" xfId="0" applyFont="1" applyFill="1" applyBorder="1" applyAlignment="1">
      <alignment horizontal="center" vertical="center" wrapText="1"/>
    </xf>
    <xf numFmtId="0" fontId="1" fillId="0" borderId="79" xfId="0" applyFont="1" applyBorder="1" applyAlignment="1">
      <alignment wrapText="1"/>
    </xf>
    <xf numFmtId="0" fontId="1" fillId="0" borderId="1" xfId="0" applyFont="1" applyBorder="1" applyAlignment="1">
      <alignment wrapText="1"/>
    </xf>
    <xf numFmtId="0" fontId="1" fillId="0" borderId="53" xfId="0" applyFont="1" applyBorder="1" applyAlignment="1">
      <alignment wrapText="1"/>
    </xf>
    <xf numFmtId="9" fontId="2" fillId="0" borderId="194" xfId="0" applyNumberFormat="1" applyFont="1" applyBorder="1" applyAlignment="1">
      <alignment horizontal="center" wrapText="1"/>
    </xf>
    <xf numFmtId="9" fontId="2" fillId="0" borderId="54" xfId="0" applyNumberFormat="1" applyFont="1" applyBorder="1" applyAlignment="1">
      <alignment horizontal="center" wrapText="1"/>
    </xf>
    <xf numFmtId="0" fontId="40" fillId="0" borderId="0" xfId="0" applyFont="1" applyAlignment="1">
      <alignment horizontal="center"/>
    </xf>
  </cellXfs>
  <cellStyles count="15">
    <cellStyle name="Comma" xfId="1" builtinId="3"/>
    <cellStyle name="Comma [0]" xfId="2" builtinId="6"/>
    <cellStyle name="Comma [0] 2" xfId="3"/>
    <cellStyle name="Comma [0] 2 2" xfId="13"/>
    <cellStyle name="Comma 2" xfId="4"/>
    <cellStyle name="Comma 2 2" xfId="11"/>
    <cellStyle name="Currency [0]" xfId="5" builtinId="7"/>
    <cellStyle name="Currency [0] 2" xfId="6"/>
    <cellStyle name="Currency [0] 2 2" xfId="14"/>
    <cellStyle name="Hyperlink" xfId="7" builtinId="8"/>
    <cellStyle name="Normal" xfId="0" builtinId="0"/>
    <cellStyle name="Normal 2" xfId="8"/>
    <cellStyle name="Normal 3" xfId="12"/>
    <cellStyle name="Normal_Form RKA" xfId="9"/>
    <cellStyle name="Normal_Form RKA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worksheet" Target="worksheets/sheet25.xml"/><Relationship Id="rId3" Type="http://schemas.openxmlformats.org/officeDocument/2006/relationships/worksheet" Target="worksheets/sheet2.xml"/><Relationship Id="rId21" Type="http://schemas.openxmlformats.org/officeDocument/2006/relationships/worksheet" Target="worksheets/sheet20.xml"/><Relationship Id="rId34" Type="http://schemas.openxmlformats.org/officeDocument/2006/relationships/theme" Target="theme/theme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externalLink" Target="externalLinks/externalLink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calcChain" Target="calcChain.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sharedStrings" Target="sharedStrings.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worksheet" Target="worksheets/sheet30.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d-ID"/>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7849017580145"/>
          <c:y val="3.5593220338983052E-2"/>
          <c:w val="0.81592554291623576"/>
          <c:h val="0.89491525423728813"/>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'RECAP APBD'!$B$27:$F$27</c:f>
              <c:numCache>
                <c:formatCode>General</c:formatCode>
                <c:ptCount val="5"/>
                <c:pt idx="0">
                  <c:v>5</c:v>
                </c:pt>
                <c:pt idx="3">
                  <c:v>0</c:v>
                </c:pt>
                <c:pt idx="4" formatCode="_(* #,##0_);_(* \(#,##0\);_(* &quot;-&quot;??_);_(@_)">
                  <c:v>8064624386</c:v>
                </c:pt>
              </c:numCache>
            </c:numRef>
          </c:val>
          <c:extLst xmlns:c16r2="http://schemas.microsoft.com/office/drawing/2015/06/chart">
            <c:ext xmlns:c16="http://schemas.microsoft.com/office/drawing/2014/chart" uri="{C3380CC4-5D6E-409C-BE32-E72D297353CC}">
              <c16:uniqueId val="{00000000-12C6-4D1F-9078-31B541FD2807}"/>
            </c:ext>
          </c:extLst>
        </c:ser>
        <c:ser>
          <c:idx val="1"/>
          <c:order val="1"/>
          <c:spPr>
            <a:solidFill>
              <a:srgbClr val="993366"/>
            </a:solidFill>
            <a:ln w="12700">
              <a:solidFill>
                <a:srgbClr val="000000"/>
              </a:solidFill>
              <a:prstDash val="solid"/>
            </a:ln>
          </c:spPr>
          <c:invertIfNegative val="0"/>
          <c:val>
            <c:numRef>
              <c:f>'RECAP APBD'!$B$28:$F$28</c:f>
              <c:numCache>
                <c:formatCode>General</c:formatCode>
                <c:ptCount val="5"/>
                <c:pt idx="0">
                  <c:v>5</c:v>
                </c:pt>
                <c:pt idx="1">
                  <c:v>1</c:v>
                </c:pt>
                <c:pt idx="3">
                  <c:v>0</c:v>
                </c:pt>
                <c:pt idx="4" formatCode="_(* #,##0_);_(* \(#,##0\);_(* &quot;-&quot;??_);_(@_)">
                  <c:v>3261401538</c:v>
                </c:pt>
              </c:numCache>
            </c:numRef>
          </c:val>
          <c:extLst xmlns:c16r2="http://schemas.microsoft.com/office/drawing/2015/06/chart">
            <c:ext xmlns:c16="http://schemas.microsoft.com/office/drawing/2014/chart" uri="{C3380CC4-5D6E-409C-BE32-E72D297353CC}">
              <c16:uniqueId val="{00000001-12C6-4D1F-9078-31B541FD2807}"/>
            </c:ext>
          </c:extLst>
        </c:ser>
        <c:ser>
          <c:idx val="2"/>
          <c:order val="2"/>
          <c:spPr>
            <a:solidFill>
              <a:srgbClr val="FFFFCC"/>
            </a:solidFill>
            <a:ln w="12700">
              <a:solidFill>
                <a:srgbClr val="000000"/>
              </a:solidFill>
              <a:prstDash val="solid"/>
            </a:ln>
          </c:spPr>
          <c:invertIfNegative val="0"/>
          <c:val>
            <c:numRef>
              <c:f>'RECAP APBD'!$B$29:$F$29</c:f>
              <c:numCache>
                <c:formatCode>General</c:formatCode>
                <c:ptCount val="5"/>
                <c:pt idx="0">
                  <c:v>5</c:v>
                </c:pt>
                <c:pt idx="1">
                  <c:v>1</c:v>
                </c:pt>
                <c:pt idx="2">
                  <c:v>1</c:v>
                </c:pt>
                <c:pt idx="3">
                  <c:v>0</c:v>
                </c:pt>
                <c:pt idx="4" formatCode="_(* #,##0_);_(* \(#,##0\);_(* &quot;-&quot;_);_(@_)">
                  <c:v>3261401538</c:v>
                </c:pt>
              </c:numCache>
            </c:numRef>
          </c:val>
          <c:extLst xmlns:c16r2="http://schemas.microsoft.com/office/drawing/2015/06/chart">
            <c:ext xmlns:c16="http://schemas.microsoft.com/office/drawing/2014/chart" uri="{C3380CC4-5D6E-409C-BE32-E72D297353CC}">
              <c16:uniqueId val="{00000002-12C6-4D1F-9078-31B541FD2807}"/>
            </c:ext>
          </c:extLst>
        </c:ser>
        <c:ser>
          <c:idx val="3"/>
          <c:order val="3"/>
          <c:spPr>
            <a:solidFill>
              <a:srgbClr val="CCFFFF"/>
            </a:solidFill>
            <a:ln w="12700">
              <a:solidFill>
                <a:srgbClr val="000000"/>
              </a:solidFill>
              <a:prstDash val="solid"/>
            </a:ln>
          </c:spPr>
          <c:invertIfNegative val="0"/>
          <c:val>
            <c:numRef>
              <c:f>'RECAP APBD'!$B$30:$F$30</c:f>
              <c:numCache>
                <c:formatCode>General</c:formatCode>
                <c:ptCount val="5"/>
                <c:pt idx="0">
                  <c:v>5</c:v>
                </c:pt>
                <c:pt idx="1">
                  <c:v>2</c:v>
                </c:pt>
                <c:pt idx="3">
                  <c:v>0</c:v>
                </c:pt>
                <c:pt idx="4" formatCode="_(* #,##0_);_(* \(#,##0\);_(* &quot;-&quot;??_);_(@_)">
                  <c:v>4803222848</c:v>
                </c:pt>
              </c:numCache>
            </c:numRef>
          </c:val>
          <c:extLst xmlns:c16r2="http://schemas.microsoft.com/office/drawing/2015/06/chart">
            <c:ext xmlns:c16="http://schemas.microsoft.com/office/drawing/2014/chart" uri="{C3380CC4-5D6E-409C-BE32-E72D297353CC}">
              <c16:uniqueId val="{00000003-12C6-4D1F-9078-31B541FD2807}"/>
            </c:ext>
          </c:extLst>
        </c:ser>
        <c:ser>
          <c:idx val="4"/>
          <c:order val="4"/>
          <c:spPr>
            <a:solidFill>
              <a:srgbClr val="660066"/>
            </a:solidFill>
            <a:ln w="12700">
              <a:solidFill>
                <a:srgbClr val="000000"/>
              </a:solidFill>
              <a:prstDash val="solid"/>
            </a:ln>
          </c:spPr>
          <c:invertIfNegative val="0"/>
          <c:val>
            <c:numRef>
              <c:f>'RECAP APBD'!$B$31:$F$31</c:f>
              <c:numCache>
                <c:formatCode>General</c:formatCode>
                <c:ptCount val="5"/>
                <c:pt idx="0">
                  <c:v>5</c:v>
                </c:pt>
                <c:pt idx="1">
                  <c:v>2</c:v>
                </c:pt>
                <c:pt idx="2">
                  <c:v>1</c:v>
                </c:pt>
                <c:pt idx="3">
                  <c:v>0</c:v>
                </c:pt>
                <c:pt idx="4" formatCode="_(* #,##0_);_(* \(#,##0\);_(* &quot;-&quot;_);_(@_)">
                  <c:v>509965000</c:v>
                </c:pt>
              </c:numCache>
            </c:numRef>
          </c:val>
          <c:extLst xmlns:c16r2="http://schemas.microsoft.com/office/drawing/2015/06/chart">
            <c:ext xmlns:c16="http://schemas.microsoft.com/office/drawing/2014/chart" uri="{C3380CC4-5D6E-409C-BE32-E72D297353CC}">
              <c16:uniqueId val="{00000004-12C6-4D1F-9078-31B541FD2807}"/>
            </c:ext>
          </c:extLst>
        </c:ser>
        <c:ser>
          <c:idx val="5"/>
          <c:order val="5"/>
          <c:spPr>
            <a:solidFill>
              <a:srgbClr val="FF8080"/>
            </a:solidFill>
            <a:ln w="12700">
              <a:solidFill>
                <a:srgbClr val="000000"/>
              </a:solidFill>
              <a:prstDash val="solid"/>
            </a:ln>
          </c:spPr>
          <c:invertIfNegative val="0"/>
          <c:val>
            <c:numRef>
              <c:f>'RECAP APBD'!$B$32:$F$32</c:f>
              <c:numCache>
                <c:formatCode>General</c:formatCode>
                <c:ptCount val="5"/>
                <c:pt idx="0">
                  <c:v>5</c:v>
                </c:pt>
                <c:pt idx="1">
                  <c:v>2</c:v>
                </c:pt>
                <c:pt idx="2">
                  <c:v>2</c:v>
                </c:pt>
                <c:pt idx="3">
                  <c:v>0</c:v>
                </c:pt>
                <c:pt idx="4" formatCode="_(* #,##0_);_(* \(#,##0\);_(* &quot;-&quot;_);_(@_)">
                  <c:v>2750877006</c:v>
                </c:pt>
              </c:numCache>
            </c:numRef>
          </c:val>
          <c:extLst xmlns:c16r2="http://schemas.microsoft.com/office/drawing/2015/06/chart">
            <c:ext xmlns:c16="http://schemas.microsoft.com/office/drawing/2014/chart" uri="{C3380CC4-5D6E-409C-BE32-E72D297353CC}">
              <c16:uniqueId val="{00000005-12C6-4D1F-9078-31B541FD2807}"/>
            </c:ext>
          </c:extLst>
        </c:ser>
        <c:ser>
          <c:idx val="6"/>
          <c:order val="6"/>
          <c:spPr>
            <a:solidFill>
              <a:srgbClr val="0066CC"/>
            </a:solidFill>
            <a:ln w="12700">
              <a:solidFill>
                <a:srgbClr val="000000"/>
              </a:solidFill>
              <a:prstDash val="solid"/>
            </a:ln>
          </c:spPr>
          <c:invertIfNegative val="0"/>
          <c:val>
            <c:numRef>
              <c:f>'RECAP APBD'!$B$33:$F$33</c:f>
              <c:numCache>
                <c:formatCode>General</c:formatCode>
                <c:ptCount val="5"/>
                <c:pt idx="0">
                  <c:v>5</c:v>
                </c:pt>
                <c:pt idx="1">
                  <c:v>2</c:v>
                </c:pt>
                <c:pt idx="2">
                  <c:v>3</c:v>
                </c:pt>
                <c:pt idx="3">
                  <c:v>0</c:v>
                </c:pt>
                <c:pt idx="4" formatCode="_(* #,##0_);_(* \(#,##0\);_(* &quot;-&quot;_);_(@_)">
                  <c:v>1542380842</c:v>
                </c:pt>
              </c:numCache>
            </c:numRef>
          </c:val>
          <c:extLst xmlns:c16r2="http://schemas.microsoft.com/office/drawing/2015/06/chart">
            <c:ext xmlns:c16="http://schemas.microsoft.com/office/drawing/2014/chart" uri="{C3380CC4-5D6E-409C-BE32-E72D297353CC}">
              <c16:uniqueId val="{00000006-12C6-4D1F-9078-31B541FD2807}"/>
            </c:ext>
          </c:extLst>
        </c:ser>
        <c:ser>
          <c:idx val="7"/>
          <c:order val="7"/>
          <c:spPr>
            <a:solidFill>
              <a:srgbClr val="CCCCFF"/>
            </a:solidFill>
            <a:ln w="12700">
              <a:solidFill>
                <a:srgbClr val="000000"/>
              </a:solidFill>
              <a:prstDash val="solid"/>
            </a:ln>
          </c:spPr>
          <c:invertIfNegative val="0"/>
          <c:val>
            <c:numRef>
              <c:f>'RECAP APBD'!$B$34:$F$34</c:f>
              <c:numCache>
                <c:formatCode>General</c:formatCode>
                <c:ptCount val="5"/>
              </c:numCache>
            </c:numRef>
          </c:val>
          <c:extLst xmlns:c16r2="http://schemas.microsoft.com/office/drawing/2015/06/chart">
            <c:ext xmlns:c16="http://schemas.microsoft.com/office/drawing/2014/chart" uri="{C3380CC4-5D6E-409C-BE32-E72D297353CC}">
              <c16:uniqueId val="{00000007-12C6-4D1F-9078-31B541FD2807}"/>
            </c:ext>
          </c:extLst>
        </c:ser>
        <c:dLbls>
          <c:showLegendKey val="0"/>
          <c:showVal val="0"/>
          <c:showCatName val="0"/>
          <c:showSerName val="0"/>
          <c:showPercent val="0"/>
          <c:showBubbleSize val="0"/>
        </c:dLbls>
        <c:gapWidth val="150"/>
        <c:axId val="56008064"/>
        <c:axId val="56296576"/>
      </c:barChart>
      <c:catAx>
        <c:axId val="56008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lang="en-US" sz="1000" b="0" i="0" u="none" strike="noStrike" baseline="0">
                <a:solidFill>
                  <a:srgbClr val="000000"/>
                </a:solidFill>
                <a:latin typeface="Arial"/>
                <a:ea typeface="Arial"/>
                <a:cs typeface="Arial"/>
              </a:defRPr>
            </a:pPr>
            <a:endParaRPr lang="id-ID"/>
          </a:p>
        </c:txPr>
        <c:crossAx val="56296576"/>
        <c:crosses val="autoZero"/>
        <c:auto val="1"/>
        <c:lblAlgn val="ctr"/>
        <c:lblOffset val="100"/>
        <c:tickLblSkip val="1"/>
        <c:tickMarkSkip val="1"/>
        <c:noMultiLvlLbl val="0"/>
      </c:catAx>
      <c:valAx>
        <c:axId val="562965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lang="en-US" sz="1000" b="0" i="0" u="none" strike="noStrike" baseline="0">
                <a:solidFill>
                  <a:srgbClr val="000000"/>
                </a:solidFill>
                <a:latin typeface="Arial"/>
                <a:ea typeface="Arial"/>
                <a:cs typeface="Arial"/>
              </a:defRPr>
            </a:pPr>
            <a:endParaRPr lang="id-ID"/>
          </a:p>
        </c:txPr>
        <c:crossAx val="56008064"/>
        <c:crosses val="autoZero"/>
        <c:crossBetween val="between"/>
      </c:valAx>
      <c:spPr>
        <a:solidFill>
          <a:srgbClr val="C0C0C0"/>
        </a:solidFill>
        <a:ln w="12700">
          <a:solidFill>
            <a:srgbClr val="808080"/>
          </a:solidFill>
          <a:prstDash val="solid"/>
        </a:ln>
      </c:spPr>
    </c:plotArea>
    <c:legend>
      <c:legendPos val="r"/>
      <c:layout>
        <c:manualLayout>
          <c:xMode val="edge"/>
          <c:yMode val="edge"/>
          <c:x val="0.92864528348210995"/>
          <c:y val="0.34237288135593708"/>
          <c:w val="6.6184054387410929E-2"/>
          <c:h val="0.28644067796610412"/>
        </c:manualLayout>
      </c:layout>
      <c:overlay val="0"/>
      <c:spPr>
        <a:solidFill>
          <a:srgbClr val="FFFFFF"/>
        </a:solidFill>
        <a:ln w="3175">
          <a:solidFill>
            <a:srgbClr val="000000"/>
          </a:solidFill>
          <a:prstDash val="solid"/>
        </a:ln>
      </c:spPr>
      <c:txPr>
        <a:bodyPr/>
        <a:lstStyle/>
        <a:p>
          <a:pPr>
            <a:defRPr lang="en-US" sz="500" b="0" i="0" u="none" strike="noStrike" baseline="0">
              <a:solidFill>
                <a:srgbClr val="000000"/>
              </a:solidFill>
              <a:latin typeface="Arial"/>
              <a:ea typeface="Arial"/>
              <a:cs typeface="Arial"/>
            </a:defRPr>
          </a:pPr>
          <a:endParaRPr lang="id-ID"/>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id-ID"/>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codeName="Chart1">
    <tabColor rgb="FF002060"/>
  </sheetPr>
  <sheetViews>
    <sheetView zoomScale="98"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file:///C:\Documents%20and%20Settings\acer\My%20Documents\RKA-SKPD-DISHUB%202007\RKA-SKAD%20DISHUB%2009-03-07\Juklak%20PerMendagri%2013%20Thn%202006\fscommand\1\Lampiran%20A-14-1%20RKA-SKPD%200.PDF"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file:///C:\Documents%20and%20Settings\acer\My%20Documents\RKA-SKPD-DISHUB%202007\Juklak%20PerMendagri%2013%20Thn%202006\fscommand\1\Lampiran%20A-14-3%20RKA-SKPD%202.1.PDF" TargetMode="External"/><Relationship Id="rId2" Type="http://schemas.openxmlformats.org/officeDocument/2006/relationships/image" Target="../media/image4.jpeg"/><Relationship Id="rId1" Type="http://schemas.openxmlformats.org/officeDocument/2006/relationships/hyperlink" Target="file:///C:\Documents%20and%20Settings\acer\My%20Documents\RKA-SKPD-DISHUB%202007\RKA-SKAD%20DISHUB%2009-03-07\Juklak%20PerMendagri%2013%20Thn%202006\fscommand\1\Lampiran%20A-14-3%20RKA-SKPD%202.1.PDF"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file:///C:\Documents%20and%20Settings\acer\My%20Documents\RKA-SKPD-DISHUB%202007\RKA-SKAD%20DISHUB%2009-03-07\Juklak%20PerMendagri%2013%20Thn%202006\fscommand\1\Lampiran%20A-14-5%20RKA-SKPD%202.2.PDF"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8</xdr:row>
      <xdr:rowOff>38100</xdr:rowOff>
    </xdr:from>
    <xdr:to>
      <xdr:col>11</xdr:col>
      <xdr:colOff>266700</xdr:colOff>
      <xdr:row>25</xdr:row>
      <xdr:rowOff>114300</xdr:rowOff>
    </xdr:to>
    <xdr:pic>
      <xdr:nvPicPr>
        <xdr:cNvPr id="2"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597150" y="1308100"/>
          <a:ext cx="2330450" cy="2774950"/>
        </a:xfrm>
        <a:prstGeom prst="rect">
          <a:avLst/>
        </a:prstGeom>
        <a:noFill/>
        <a:ln w="9525">
          <a:noFill/>
          <a:miter lim="800000"/>
          <a:headEnd/>
          <a:tailEnd/>
        </a:ln>
      </xdr:spPr>
    </xdr:pic>
    <xdr:clientData fLocksWithSheet="0"/>
  </xdr:twoCellAnchor>
  <xdr:twoCellAnchor>
    <xdr:from>
      <xdr:col>2</xdr:col>
      <xdr:colOff>57150</xdr:colOff>
      <xdr:row>5</xdr:row>
      <xdr:rowOff>19050</xdr:rowOff>
    </xdr:from>
    <xdr:to>
      <xdr:col>14</xdr:col>
      <xdr:colOff>180975</xdr:colOff>
      <xdr:row>5</xdr:row>
      <xdr:rowOff>47625</xdr:rowOff>
    </xdr:to>
    <xdr:cxnSp macro="">
      <xdr:nvCxnSpPr>
        <xdr:cNvPr id="3" name="Straight Connector 2"/>
        <xdr:cNvCxnSpPr/>
      </xdr:nvCxnSpPr>
      <xdr:spPr>
        <a:xfrm>
          <a:off x="425450" y="812800"/>
          <a:ext cx="6962775"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5</xdr:row>
      <xdr:rowOff>19050</xdr:rowOff>
    </xdr:from>
    <xdr:to>
      <xdr:col>2</xdr:col>
      <xdr:colOff>104775</xdr:colOff>
      <xdr:row>70</xdr:row>
      <xdr:rowOff>152401</xdr:rowOff>
    </xdr:to>
    <xdr:cxnSp macro="">
      <xdr:nvCxnSpPr>
        <xdr:cNvPr id="4" name="Straight Connector 3"/>
        <xdr:cNvCxnSpPr/>
      </xdr:nvCxnSpPr>
      <xdr:spPr>
        <a:xfrm rot="5400000">
          <a:off x="-4779963" y="6056313"/>
          <a:ext cx="10496551" cy="952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4</xdr:row>
      <xdr:rowOff>161924</xdr:rowOff>
    </xdr:from>
    <xdr:to>
      <xdr:col>14</xdr:col>
      <xdr:colOff>180976</xdr:colOff>
      <xdr:row>70</xdr:row>
      <xdr:rowOff>161923</xdr:rowOff>
    </xdr:to>
    <xdr:cxnSp macro="">
      <xdr:nvCxnSpPr>
        <xdr:cNvPr id="5" name="Straight Connector 4"/>
        <xdr:cNvCxnSpPr/>
      </xdr:nvCxnSpPr>
      <xdr:spPr>
        <a:xfrm rot="16200000" flipH="1">
          <a:off x="2117726" y="6048374"/>
          <a:ext cx="10521949" cy="19050"/>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70</xdr:row>
      <xdr:rowOff>114300</xdr:rowOff>
    </xdr:from>
    <xdr:to>
      <xdr:col>14</xdr:col>
      <xdr:colOff>219075</xdr:colOff>
      <xdr:row>70</xdr:row>
      <xdr:rowOff>142875</xdr:rowOff>
    </xdr:to>
    <xdr:cxnSp macro="">
      <xdr:nvCxnSpPr>
        <xdr:cNvPr id="6" name="Straight Connector 5"/>
        <xdr:cNvCxnSpPr/>
      </xdr:nvCxnSpPr>
      <xdr:spPr>
        <a:xfrm>
          <a:off x="454025" y="11271250"/>
          <a:ext cx="697230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5</xdr:row>
      <xdr:rowOff>152400</xdr:rowOff>
    </xdr:from>
    <xdr:to>
      <xdr:col>14</xdr:col>
      <xdr:colOff>66675</xdr:colOff>
      <xdr:row>6</xdr:row>
      <xdr:rowOff>19050</xdr:rowOff>
    </xdr:to>
    <xdr:cxnSp macro="">
      <xdr:nvCxnSpPr>
        <xdr:cNvPr id="7" name="Straight Connector 6"/>
        <xdr:cNvCxnSpPr/>
      </xdr:nvCxnSpPr>
      <xdr:spPr>
        <a:xfrm>
          <a:off x="596900" y="946150"/>
          <a:ext cx="6677025" cy="25400"/>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69</xdr:row>
      <xdr:rowOff>142875</xdr:rowOff>
    </xdr:from>
    <xdr:to>
      <xdr:col>14</xdr:col>
      <xdr:colOff>19050</xdr:colOff>
      <xdr:row>70</xdr:row>
      <xdr:rowOff>9525</xdr:rowOff>
    </xdr:to>
    <xdr:cxnSp macro="">
      <xdr:nvCxnSpPr>
        <xdr:cNvPr id="8" name="Straight Connector 7"/>
        <xdr:cNvCxnSpPr/>
      </xdr:nvCxnSpPr>
      <xdr:spPr>
        <a:xfrm>
          <a:off x="587375" y="11141075"/>
          <a:ext cx="6638925" cy="25400"/>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247648</xdr:colOff>
      <xdr:row>5</xdr:row>
      <xdr:rowOff>142874</xdr:rowOff>
    </xdr:from>
    <xdr:to>
      <xdr:col>2</xdr:col>
      <xdr:colOff>247652</xdr:colOff>
      <xdr:row>69</xdr:row>
      <xdr:rowOff>152399</xdr:rowOff>
    </xdr:to>
    <xdr:cxnSp macro="">
      <xdr:nvCxnSpPr>
        <xdr:cNvPr id="9" name="Straight Connector 8"/>
        <xdr:cNvCxnSpPr/>
      </xdr:nvCxnSpPr>
      <xdr:spPr>
        <a:xfrm rot="16200000" flipH="1">
          <a:off x="-4491038" y="6043610"/>
          <a:ext cx="10213975" cy="4"/>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28576</xdr:colOff>
      <xdr:row>6</xdr:row>
      <xdr:rowOff>57153</xdr:rowOff>
    </xdr:from>
    <xdr:to>
      <xdr:col>14</xdr:col>
      <xdr:colOff>57150</xdr:colOff>
      <xdr:row>70</xdr:row>
      <xdr:rowOff>47625</xdr:rowOff>
    </xdr:to>
    <xdr:cxnSp macro="">
      <xdr:nvCxnSpPr>
        <xdr:cNvPr id="10" name="Straight Connector 9"/>
        <xdr:cNvCxnSpPr/>
      </xdr:nvCxnSpPr>
      <xdr:spPr>
        <a:xfrm rot="16200000" flipV="1">
          <a:off x="2152652" y="6092827"/>
          <a:ext cx="10194922" cy="28574"/>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168275</xdr:colOff>
      <xdr:row>4</xdr:row>
      <xdr:rowOff>12700</xdr:rowOff>
    </xdr:to>
    <xdr:pic>
      <xdr:nvPicPr>
        <xdr:cNvPr id="219188"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168275</xdr:colOff>
      <xdr:row>4</xdr:row>
      <xdr:rowOff>22225</xdr:rowOff>
    </xdr:to>
    <xdr:pic>
      <xdr:nvPicPr>
        <xdr:cNvPr id="214121"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447675" y="247650"/>
          <a:ext cx="495300" cy="638175"/>
        </a:xfrm>
        <a:prstGeom prst="rect">
          <a:avLst/>
        </a:prstGeom>
        <a:noFill/>
        <a:ln w="9525">
          <a:noFill/>
          <a:miter lim="800000"/>
          <a:headEnd/>
          <a:tailEnd/>
        </a:ln>
      </xdr:spPr>
    </xdr:pic>
    <xdr:clientData fLocksWithSheet="0"/>
  </xdr:twoCellAnchor>
  <xdr:twoCellAnchor editAs="oneCell">
    <xdr:from>
      <xdr:col>2</xdr:col>
      <xdr:colOff>28575</xdr:colOff>
      <xdr:row>1</xdr:row>
      <xdr:rowOff>19050</xdr:rowOff>
    </xdr:from>
    <xdr:to>
      <xdr:col>4</xdr:col>
      <xdr:colOff>168275</xdr:colOff>
      <xdr:row>4</xdr:row>
      <xdr:rowOff>22225</xdr:rowOff>
    </xdr:to>
    <xdr:pic>
      <xdr:nvPicPr>
        <xdr:cNvPr id="214122" name="Picture 3"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447675" y="247650"/>
          <a:ext cx="495300" cy="638175"/>
        </a:xfrm>
        <a:prstGeom prst="rect">
          <a:avLst/>
        </a:prstGeom>
        <a:noFill/>
        <a:ln w="9525">
          <a:noFill/>
          <a:miter lim="800000"/>
          <a:headEnd/>
          <a:tailEnd/>
        </a:ln>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168275</xdr:colOff>
      <xdr:row>4</xdr:row>
      <xdr:rowOff>6350</xdr:rowOff>
    </xdr:to>
    <xdr:pic>
      <xdr:nvPicPr>
        <xdr:cNvPr id="220212"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819150" y="247650"/>
          <a:ext cx="495300" cy="638175"/>
        </a:xfrm>
        <a:prstGeom prst="rect">
          <a:avLst/>
        </a:prstGeom>
        <a:noFill/>
        <a:ln w="9525">
          <a:noFill/>
          <a:miter lim="800000"/>
          <a:headEnd/>
          <a:tailEnd/>
        </a:ln>
      </xdr:spPr>
    </xdr:pic>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168852</xdr:colOff>
      <xdr:row>4</xdr:row>
      <xdr:rowOff>578</xdr:rowOff>
    </xdr:to>
    <xdr:pic>
      <xdr:nvPicPr>
        <xdr:cNvPr id="215093"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168275</xdr:colOff>
      <xdr:row>4</xdr:row>
      <xdr:rowOff>6350</xdr:rowOff>
    </xdr:to>
    <xdr:pic>
      <xdr:nvPicPr>
        <xdr:cNvPr id="216117"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165099</xdr:colOff>
      <xdr:row>4</xdr:row>
      <xdr:rowOff>6350</xdr:rowOff>
    </xdr:to>
    <xdr:pic>
      <xdr:nvPicPr>
        <xdr:cNvPr id="205880"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876300" y="247650"/>
          <a:ext cx="495300" cy="638175"/>
        </a:xfrm>
        <a:prstGeom prst="rect">
          <a:avLst/>
        </a:prstGeom>
        <a:noFill/>
        <a:ln w="9525">
          <a:noFill/>
          <a:miter lim="800000"/>
          <a:headEnd/>
          <a:tailEnd/>
        </a:ln>
      </xdr:spPr>
    </xdr:pic>
    <xdr:clientData fLocksWithSheet="0"/>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161925</xdr:colOff>
      <xdr:row>4</xdr:row>
      <xdr:rowOff>6350</xdr:rowOff>
    </xdr:to>
    <xdr:pic>
      <xdr:nvPicPr>
        <xdr:cNvPr id="2"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161925</xdr:colOff>
      <xdr:row>4</xdr:row>
      <xdr:rowOff>6350</xdr:rowOff>
    </xdr:to>
    <xdr:pic>
      <xdr:nvPicPr>
        <xdr:cNvPr id="207981"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twoCellAnchor editAs="oneCell">
    <xdr:from>
      <xdr:col>2</xdr:col>
      <xdr:colOff>28575</xdr:colOff>
      <xdr:row>1</xdr:row>
      <xdr:rowOff>19050</xdr:rowOff>
    </xdr:from>
    <xdr:to>
      <xdr:col>4</xdr:col>
      <xdr:colOff>161925</xdr:colOff>
      <xdr:row>4</xdr:row>
      <xdr:rowOff>6350</xdr:rowOff>
    </xdr:to>
    <xdr:pic>
      <xdr:nvPicPr>
        <xdr:cNvPr id="207982" name="Picture 3"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161925</xdr:colOff>
      <xdr:row>4</xdr:row>
      <xdr:rowOff>6350</xdr:rowOff>
    </xdr:to>
    <xdr:pic>
      <xdr:nvPicPr>
        <xdr:cNvPr id="203835"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0"/>
          <a:ext cx="495300" cy="638175"/>
        </a:xfrm>
        <a:prstGeom prst="rect">
          <a:avLst/>
        </a:prstGeom>
        <a:noFill/>
        <a:ln w="9525">
          <a:noFill/>
          <a:miter lim="800000"/>
          <a:headEnd/>
          <a:tailEnd/>
        </a:ln>
      </xdr:spPr>
    </xdr:pic>
    <xdr:clientData fLocksWithSheet="0"/>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28575</xdr:colOff>
      <xdr:row>1</xdr:row>
      <xdr:rowOff>95250</xdr:rowOff>
    </xdr:from>
    <xdr:to>
      <xdr:col>5</xdr:col>
      <xdr:colOff>76200</xdr:colOff>
      <xdr:row>4</xdr:row>
      <xdr:rowOff>85725</xdr:rowOff>
    </xdr:to>
    <xdr:pic>
      <xdr:nvPicPr>
        <xdr:cNvPr id="129578"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638175" y="260350"/>
          <a:ext cx="619125" cy="638175"/>
        </a:xfrm>
        <a:prstGeom prst="rect">
          <a:avLst/>
        </a:prstGeom>
        <a:noFill/>
        <a:ln w="9525">
          <a:noFill/>
          <a:miter lim="800000"/>
          <a:headEnd/>
          <a:tailEnd/>
        </a:ln>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0" y="0"/>
    <xdr:ext cx="9291735" cy="607137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twoCellAnchor editAs="oneCell">
    <xdr:from>
      <xdr:col>2</xdr:col>
      <xdr:colOff>3175</xdr:colOff>
      <xdr:row>1</xdr:row>
      <xdr:rowOff>111125</xdr:rowOff>
    </xdr:from>
    <xdr:to>
      <xdr:col>5</xdr:col>
      <xdr:colOff>5114</xdr:colOff>
      <xdr:row>4</xdr:row>
      <xdr:rowOff>146050</xdr:rowOff>
    </xdr:to>
    <xdr:pic>
      <xdr:nvPicPr>
        <xdr:cNvPr id="2"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612775" y="276225"/>
          <a:ext cx="612775" cy="682625"/>
        </a:xfrm>
        <a:prstGeom prst="rect">
          <a:avLst/>
        </a:prstGeom>
        <a:noFill/>
        <a:ln w="9525">
          <a:noFill/>
          <a:miter lim="800000"/>
          <a:headEnd/>
          <a:tailEnd/>
        </a:ln>
      </xdr:spPr>
    </xdr:pic>
    <xdr:clientData fLocksWithSheet="0"/>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3175</xdr:colOff>
      <xdr:row>1</xdr:row>
      <xdr:rowOff>111125</xdr:rowOff>
    </xdr:from>
    <xdr:to>
      <xdr:col>5</xdr:col>
      <xdr:colOff>44450</xdr:colOff>
      <xdr:row>4</xdr:row>
      <xdr:rowOff>146050</xdr:rowOff>
    </xdr:to>
    <xdr:pic>
      <xdr:nvPicPr>
        <xdr:cNvPr id="3"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688975" y="276225"/>
          <a:ext cx="612775" cy="682625"/>
        </a:xfrm>
        <a:prstGeom prst="rect">
          <a:avLst/>
        </a:prstGeom>
        <a:noFill/>
        <a:ln w="9525">
          <a:noFill/>
          <a:miter lim="800000"/>
          <a:headEnd/>
          <a:tailEnd/>
        </a:ln>
      </xdr:spPr>
    </xdr:pic>
    <xdr:clientData fLocksWithSheet="0"/>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184150</xdr:colOff>
      <xdr:row>1</xdr:row>
      <xdr:rowOff>57151</xdr:rowOff>
    </xdr:from>
    <xdr:to>
      <xdr:col>5</xdr:col>
      <xdr:colOff>88899</xdr:colOff>
      <xdr:row>4</xdr:row>
      <xdr:rowOff>127001</xdr:rowOff>
    </xdr:to>
    <xdr:pic>
      <xdr:nvPicPr>
        <xdr:cNvPr id="3"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539750" y="222251"/>
          <a:ext cx="666749" cy="717550"/>
        </a:xfrm>
        <a:prstGeom prst="rect">
          <a:avLst/>
        </a:prstGeom>
        <a:noFill/>
        <a:ln w="9525">
          <a:noFill/>
          <a:miter lim="800000"/>
          <a:headEnd/>
          <a:tailEnd/>
        </a:ln>
      </xdr:spPr>
    </xdr:pic>
    <xdr:clientData fLocksWithSheet="0"/>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24</xdr:row>
      <xdr:rowOff>142875</xdr:rowOff>
    </xdr:from>
    <xdr:to>
      <xdr:col>1</xdr:col>
      <xdr:colOff>76200</xdr:colOff>
      <xdr:row>26</xdr:row>
      <xdr:rowOff>1120</xdr:rowOff>
    </xdr:to>
    <xdr:sp macro="" textlink="">
      <xdr:nvSpPr>
        <xdr:cNvPr id="2" name="Text Box 3"/>
        <xdr:cNvSpPr txBox="1">
          <a:spLocks noChangeArrowheads="1"/>
        </xdr:cNvSpPr>
      </xdr:nvSpPr>
      <xdr:spPr bwMode="auto">
        <a:xfrm>
          <a:off x="431800" y="4479925"/>
          <a:ext cx="76200" cy="17574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26</xdr:row>
      <xdr:rowOff>1120</xdr:rowOff>
    </xdr:to>
    <xdr:sp macro="" textlink="">
      <xdr:nvSpPr>
        <xdr:cNvPr id="3" name="Text Box 5"/>
        <xdr:cNvSpPr txBox="1">
          <a:spLocks noChangeArrowheads="1"/>
        </xdr:cNvSpPr>
      </xdr:nvSpPr>
      <xdr:spPr bwMode="auto">
        <a:xfrm>
          <a:off x="431800" y="4479925"/>
          <a:ext cx="76200" cy="17574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152943</xdr:rowOff>
    </xdr:to>
    <xdr:sp macro="" textlink="">
      <xdr:nvSpPr>
        <xdr:cNvPr id="4" name="Text Box 1"/>
        <xdr:cNvSpPr txBox="1">
          <a:spLocks noChangeArrowheads="1"/>
        </xdr:cNvSpPr>
      </xdr:nvSpPr>
      <xdr:spPr bwMode="auto">
        <a:xfrm>
          <a:off x="431800" y="4479925"/>
          <a:ext cx="76200" cy="168818"/>
        </a:xfrm>
        <a:prstGeom prst="rect">
          <a:avLst/>
        </a:prstGeom>
        <a:noFill/>
        <a:ln w="9525">
          <a:noFill/>
          <a:miter lim="800000"/>
          <a:headEnd/>
          <a:tailEnd/>
        </a:ln>
      </xdr:spPr>
    </xdr:sp>
    <xdr:clientData/>
  </xdr:twoCellAnchor>
  <xdr:twoCellAnchor editAs="oneCell">
    <xdr:from>
      <xdr:col>2</xdr:col>
      <xdr:colOff>19051</xdr:colOff>
      <xdr:row>1</xdr:row>
      <xdr:rowOff>88900</xdr:rowOff>
    </xdr:from>
    <xdr:to>
      <xdr:col>7</xdr:col>
      <xdr:colOff>66262</xdr:colOff>
      <xdr:row>4</xdr:row>
      <xdr:rowOff>115956</xdr:rowOff>
    </xdr:to>
    <xdr:pic>
      <xdr:nvPicPr>
        <xdr:cNvPr id="5"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641351" y="254000"/>
          <a:ext cx="999711" cy="655706"/>
        </a:xfrm>
        <a:prstGeom prst="rect">
          <a:avLst/>
        </a:prstGeom>
        <a:noFill/>
        <a:ln w="9525">
          <a:noFill/>
          <a:miter lim="800000"/>
          <a:headEnd/>
          <a:tailEnd/>
        </a:ln>
      </xdr:spPr>
    </xdr:pic>
    <xdr:clientData fLocksWithSheet="0"/>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23</xdr:row>
      <xdr:rowOff>142875</xdr:rowOff>
    </xdr:from>
    <xdr:to>
      <xdr:col>1</xdr:col>
      <xdr:colOff>76200</xdr:colOff>
      <xdr:row>25</xdr:row>
      <xdr:rowOff>6350</xdr:rowOff>
    </xdr:to>
    <xdr:sp macro="" textlink="">
      <xdr:nvSpPr>
        <xdr:cNvPr id="2" name="Text Box 3"/>
        <xdr:cNvSpPr txBox="1">
          <a:spLocks noChangeArrowheads="1"/>
        </xdr:cNvSpPr>
      </xdr:nvSpPr>
      <xdr:spPr bwMode="auto">
        <a:xfrm>
          <a:off x="0" y="477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3" name="Picture 4"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495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4" name="Text Box 5"/>
        <xdr:cNvSpPr txBox="1">
          <a:spLocks noChangeArrowheads="1"/>
        </xdr:cNvSpPr>
      </xdr:nvSpPr>
      <xdr:spPr bwMode="auto">
        <a:xfrm>
          <a:off x="0" y="477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5" name="Picture 6"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495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24</xdr:row>
      <xdr:rowOff>152400</xdr:rowOff>
    </xdr:to>
    <xdr:sp macro="" textlink="">
      <xdr:nvSpPr>
        <xdr:cNvPr id="6" name="Text Box 1"/>
        <xdr:cNvSpPr txBox="1">
          <a:spLocks noChangeArrowheads="1"/>
        </xdr:cNvSpPr>
      </xdr:nvSpPr>
      <xdr:spPr bwMode="auto">
        <a:xfrm>
          <a:off x="0" y="47720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7" name="Picture 2"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495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8" name="Text Box 3"/>
        <xdr:cNvSpPr txBox="1">
          <a:spLocks noChangeArrowheads="1"/>
        </xdr:cNvSpPr>
      </xdr:nvSpPr>
      <xdr:spPr bwMode="auto">
        <a:xfrm>
          <a:off x="0" y="477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9" name="Picture 4"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495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10" name="Text Box 5"/>
        <xdr:cNvSpPr txBox="1">
          <a:spLocks noChangeArrowheads="1"/>
        </xdr:cNvSpPr>
      </xdr:nvSpPr>
      <xdr:spPr bwMode="auto">
        <a:xfrm>
          <a:off x="0" y="4772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11" name="Picture 6"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495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24</xdr:row>
      <xdr:rowOff>152400</xdr:rowOff>
    </xdr:to>
    <xdr:sp macro="" textlink="">
      <xdr:nvSpPr>
        <xdr:cNvPr id="12" name="Text Box 1"/>
        <xdr:cNvSpPr txBox="1">
          <a:spLocks noChangeArrowheads="1"/>
        </xdr:cNvSpPr>
      </xdr:nvSpPr>
      <xdr:spPr bwMode="auto">
        <a:xfrm>
          <a:off x="0" y="47720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13" name="Picture 2"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495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14" name="Text Box 3"/>
        <xdr:cNvSpPr txBox="1">
          <a:spLocks noChangeArrowheads="1"/>
        </xdr:cNvSpPr>
      </xdr:nvSpPr>
      <xdr:spPr bwMode="auto">
        <a:xfrm>
          <a:off x="241300" y="4676775"/>
          <a:ext cx="76200"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15" name="Picture 4"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07975"/>
          <a:ext cx="5143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16" name="Text Box 5"/>
        <xdr:cNvSpPr txBox="1">
          <a:spLocks noChangeArrowheads="1"/>
        </xdr:cNvSpPr>
      </xdr:nvSpPr>
      <xdr:spPr bwMode="auto">
        <a:xfrm>
          <a:off x="241300" y="4676775"/>
          <a:ext cx="76200"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17" name="Picture 6"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07975"/>
          <a:ext cx="5143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24</xdr:row>
      <xdr:rowOff>152400</xdr:rowOff>
    </xdr:to>
    <xdr:sp macro="" textlink="">
      <xdr:nvSpPr>
        <xdr:cNvPr id="18" name="Text Box 1"/>
        <xdr:cNvSpPr txBox="1">
          <a:spLocks noChangeArrowheads="1"/>
        </xdr:cNvSpPr>
      </xdr:nvSpPr>
      <xdr:spPr bwMode="auto">
        <a:xfrm>
          <a:off x="241300" y="4676775"/>
          <a:ext cx="76200" cy="17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19" name="Picture 2"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07975"/>
          <a:ext cx="5143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20" name="Text Box 3"/>
        <xdr:cNvSpPr txBox="1">
          <a:spLocks noChangeArrowheads="1"/>
        </xdr:cNvSpPr>
      </xdr:nvSpPr>
      <xdr:spPr bwMode="auto">
        <a:xfrm>
          <a:off x="241300" y="4676775"/>
          <a:ext cx="76200"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21" name="Picture 4"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07975"/>
          <a:ext cx="5143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25</xdr:row>
      <xdr:rowOff>6350</xdr:rowOff>
    </xdr:to>
    <xdr:sp macro="" textlink="">
      <xdr:nvSpPr>
        <xdr:cNvPr id="22" name="Text Box 5"/>
        <xdr:cNvSpPr txBox="1">
          <a:spLocks noChangeArrowheads="1"/>
        </xdr:cNvSpPr>
      </xdr:nvSpPr>
      <xdr:spPr bwMode="auto">
        <a:xfrm>
          <a:off x="241300" y="4676775"/>
          <a:ext cx="76200"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23" name="Picture 6"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07975"/>
          <a:ext cx="5143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0</xdr:colOff>
      <xdr:row>23</xdr:row>
      <xdr:rowOff>142875</xdr:rowOff>
    </xdr:from>
    <xdr:to>
      <xdr:col>1</xdr:col>
      <xdr:colOff>76200</xdr:colOff>
      <xdr:row>24</xdr:row>
      <xdr:rowOff>152400</xdr:rowOff>
    </xdr:to>
    <xdr:sp macro="" textlink="">
      <xdr:nvSpPr>
        <xdr:cNvPr id="24" name="Text Box 1"/>
        <xdr:cNvSpPr txBox="1">
          <a:spLocks noChangeArrowheads="1"/>
        </xdr:cNvSpPr>
      </xdr:nvSpPr>
      <xdr:spPr bwMode="auto">
        <a:xfrm>
          <a:off x="241300" y="4676775"/>
          <a:ext cx="76200" cy="17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xdr:colOff>
      <xdr:row>1</xdr:row>
      <xdr:rowOff>142875</xdr:rowOff>
    </xdr:from>
    <xdr:to>
      <xdr:col>4</xdr:col>
      <xdr:colOff>171449</xdr:colOff>
      <xdr:row>4</xdr:row>
      <xdr:rowOff>114300</xdr:rowOff>
    </xdr:to>
    <xdr:pic>
      <xdr:nvPicPr>
        <xdr:cNvPr id="25" name="Picture 2" descr="Logo Pemko1 cop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07975"/>
          <a:ext cx="51434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165100</xdr:colOff>
      <xdr:row>1</xdr:row>
      <xdr:rowOff>63501</xdr:rowOff>
    </xdr:from>
    <xdr:to>
      <xdr:col>5</xdr:col>
      <xdr:colOff>76199</xdr:colOff>
      <xdr:row>4</xdr:row>
      <xdr:rowOff>127001</xdr:rowOff>
    </xdr:to>
    <xdr:pic>
      <xdr:nvPicPr>
        <xdr:cNvPr id="2"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431800" y="228601"/>
          <a:ext cx="673099" cy="711200"/>
        </a:xfrm>
        <a:prstGeom prst="rect">
          <a:avLst/>
        </a:prstGeom>
        <a:noFill/>
        <a:ln w="9525">
          <a:noFill/>
          <a:miter lim="800000"/>
          <a:headEnd/>
          <a:tailEnd/>
        </a:ln>
      </xdr:spPr>
    </xdr:pic>
    <xdr:clientData fLocksWithSheet="0"/>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196272</xdr:colOff>
      <xdr:row>1</xdr:row>
      <xdr:rowOff>109682</xdr:rowOff>
    </xdr:from>
    <xdr:to>
      <xdr:col>4</xdr:col>
      <xdr:colOff>172602</xdr:colOff>
      <xdr:row>4</xdr:row>
      <xdr:rowOff>28864</xdr:rowOff>
    </xdr:to>
    <xdr:pic>
      <xdr:nvPicPr>
        <xdr:cNvPr id="2" name="Picture 1" descr="Logo Pemko1 copy">
          <a:extLst>
            <a:ext uri="{FF2B5EF4-FFF2-40B4-BE49-F238E27FC236}">
              <a16:creationId xmlns:a16="http://schemas.microsoft.com/office/drawing/2014/main" xmlns="" id="{765BAE28-E183-4800-8747-5664CD5F99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999" y="438727"/>
          <a:ext cx="554180" cy="571500"/>
        </a:xfrm>
        <a:prstGeom prst="rect">
          <a:avLst/>
        </a:prstGeom>
        <a:noFill/>
        <a:ln w="9525">
          <a:noFill/>
          <a:miter lim="800000"/>
          <a:headEnd/>
          <a:tailEnd/>
        </a:ln>
      </xdr:spPr>
    </xdr:pic>
    <xdr:clientData fLocksWithSheet="0"/>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24</xdr:row>
      <xdr:rowOff>142875</xdr:rowOff>
    </xdr:from>
    <xdr:to>
      <xdr:col>1</xdr:col>
      <xdr:colOff>76200</xdr:colOff>
      <xdr:row>26</xdr:row>
      <xdr:rowOff>1120</xdr:rowOff>
    </xdr:to>
    <xdr:sp macro="" textlink="">
      <xdr:nvSpPr>
        <xdr:cNvPr id="2" name="Text Box 3"/>
        <xdr:cNvSpPr txBox="1">
          <a:spLocks noChangeArrowheads="1"/>
        </xdr:cNvSpPr>
      </xdr:nvSpPr>
      <xdr:spPr bwMode="auto">
        <a:xfrm>
          <a:off x="0" y="4914900"/>
          <a:ext cx="76200" cy="191620"/>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26</xdr:row>
      <xdr:rowOff>1120</xdr:rowOff>
    </xdr:to>
    <xdr:sp macro="" textlink="">
      <xdr:nvSpPr>
        <xdr:cNvPr id="3" name="Text Box 5"/>
        <xdr:cNvSpPr txBox="1">
          <a:spLocks noChangeArrowheads="1"/>
        </xdr:cNvSpPr>
      </xdr:nvSpPr>
      <xdr:spPr bwMode="auto">
        <a:xfrm>
          <a:off x="0" y="4914900"/>
          <a:ext cx="76200" cy="191620"/>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152943</xdr:rowOff>
    </xdr:to>
    <xdr:sp macro="" textlink="">
      <xdr:nvSpPr>
        <xdr:cNvPr id="4" name="Text Box 1"/>
        <xdr:cNvSpPr txBox="1">
          <a:spLocks noChangeArrowheads="1"/>
        </xdr:cNvSpPr>
      </xdr:nvSpPr>
      <xdr:spPr bwMode="auto">
        <a:xfrm>
          <a:off x="0" y="4914900"/>
          <a:ext cx="76200" cy="178343"/>
        </a:xfrm>
        <a:prstGeom prst="rect">
          <a:avLst/>
        </a:prstGeom>
        <a:noFill/>
        <a:ln w="9525">
          <a:noFill/>
          <a:miter lim="800000"/>
          <a:headEnd/>
          <a:tailEnd/>
        </a:ln>
      </xdr:spPr>
    </xdr:sp>
    <xdr:clientData/>
  </xdr:twoCellAnchor>
  <xdr:twoCellAnchor editAs="oneCell">
    <xdr:from>
      <xdr:col>1</xdr:col>
      <xdr:colOff>165100</xdr:colOff>
      <xdr:row>1</xdr:row>
      <xdr:rowOff>50800</xdr:rowOff>
    </xdr:from>
    <xdr:to>
      <xdr:col>4</xdr:col>
      <xdr:colOff>159039</xdr:colOff>
      <xdr:row>4</xdr:row>
      <xdr:rowOff>82550</xdr:rowOff>
    </xdr:to>
    <xdr:pic>
      <xdr:nvPicPr>
        <xdr:cNvPr id="5"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527050" y="215900"/>
          <a:ext cx="565439" cy="679450"/>
        </a:xfrm>
        <a:prstGeom prst="rect">
          <a:avLst/>
        </a:prstGeom>
        <a:noFill/>
        <a:ln w="9525">
          <a:noFill/>
          <a:miter lim="800000"/>
          <a:headEnd/>
          <a:tailEnd/>
        </a:ln>
      </xdr:spPr>
    </xdr:pic>
    <xdr:clientData fLocksWithSheet="0"/>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234950</xdr:colOff>
      <xdr:row>1</xdr:row>
      <xdr:rowOff>104775</xdr:rowOff>
    </xdr:from>
    <xdr:to>
      <xdr:col>4</xdr:col>
      <xdr:colOff>190833</xdr:colOff>
      <xdr:row>4</xdr:row>
      <xdr:rowOff>57150</xdr:rowOff>
    </xdr:to>
    <xdr:pic>
      <xdr:nvPicPr>
        <xdr:cNvPr id="5" name="Picture 4"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501650" y="269875"/>
          <a:ext cx="628649" cy="600075"/>
        </a:xfrm>
        <a:prstGeom prst="rect">
          <a:avLst/>
        </a:prstGeom>
        <a:noFill/>
        <a:ln w="9525">
          <a:noFill/>
          <a:miter lim="800000"/>
          <a:headEnd/>
          <a:tailEnd/>
        </a:ln>
      </xdr:spPr>
    </xdr:pic>
    <xdr:clientData fLocksWithSheet="0"/>
  </xdr:twoCellAnchor>
</xdr:wsDr>
</file>

<file path=xl/drawings/drawing29.xml><?xml version="1.0" encoding="utf-8"?>
<xdr:wsDr xmlns:xdr="http://schemas.openxmlformats.org/drawingml/2006/spreadsheetDrawing" xmlns:a="http://schemas.openxmlformats.org/drawingml/2006/main">
  <xdr:twoCellAnchor editAs="oneCell">
    <xdr:from>
      <xdr:col>2</xdr:col>
      <xdr:colOff>3175</xdr:colOff>
      <xdr:row>1</xdr:row>
      <xdr:rowOff>82550</xdr:rowOff>
    </xdr:from>
    <xdr:to>
      <xdr:col>5</xdr:col>
      <xdr:colOff>12700</xdr:colOff>
      <xdr:row>4</xdr:row>
      <xdr:rowOff>57150</xdr:rowOff>
    </xdr:to>
    <xdr:pic>
      <xdr:nvPicPr>
        <xdr:cNvPr id="227372"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511175" y="247650"/>
          <a:ext cx="581025" cy="622300"/>
        </a:xfrm>
        <a:prstGeom prst="rect">
          <a:avLst/>
        </a:prstGeom>
        <a:noFill/>
        <a:ln w="9525">
          <a:noFill/>
          <a:miter lim="800000"/>
          <a:headEnd/>
          <a:tailEnd/>
        </a:ln>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114300</xdr:colOff>
      <xdr:row>8</xdr:row>
      <xdr:rowOff>38100</xdr:rowOff>
    </xdr:from>
    <xdr:to>
      <xdr:col>11</xdr:col>
      <xdr:colOff>266700</xdr:colOff>
      <xdr:row>25</xdr:row>
      <xdr:rowOff>114300</xdr:rowOff>
    </xdr:to>
    <xdr:pic>
      <xdr:nvPicPr>
        <xdr:cNvPr id="198620"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2514600" y="1333500"/>
          <a:ext cx="2257425" cy="2828925"/>
        </a:xfrm>
        <a:prstGeom prst="rect">
          <a:avLst/>
        </a:prstGeom>
        <a:noFill/>
        <a:ln w="9525">
          <a:noFill/>
          <a:miter lim="800000"/>
          <a:headEnd/>
          <a:tailEnd/>
        </a:ln>
      </xdr:spPr>
    </xdr:pic>
    <xdr:clientData fLocksWithSheet="0"/>
  </xdr:twoCellAnchor>
  <xdr:twoCellAnchor>
    <xdr:from>
      <xdr:col>2</xdr:col>
      <xdr:colOff>57150</xdr:colOff>
      <xdr:row>5</xdr:row>
      <xdr:rowOff>19050</xdr:rowOff>
    </xdr:from>
    <xdr:to>
      <xdr:col>14</xdr:col>
      <xdr:colOff>180975</xdr:colOff>
      <xdr:row>5</xdr:row>
      <xdr:rowOff>47625</xdr:rowOff>
    </xdr:to>
    <xdr:cxnSp macro="">
      <xdr:nvCxnSpPr>
        <xdr:cNvPr id="5" name="Straight Connector 4"/>
        <xdr:cNvCxnSpPr/>
      </xdr:nvCxnSpPr>
      <xdr:spPr>
        <a:xfrm>
          <a:off x="409575" y="828675"/>
          <a:ext cx="668655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5</xdr:row>
      <xdr:rowOff>19050</xdr:rowOff>
    </xdr:from>
    <xdr:to>
      <xdr:col>2</xdr:col>
      <xdr:colOff>104775</xdr:colOff>
      <xdr:row>70</xdr:row>
      <xdr:rowOff>152401</xdr:rowOff>
    </xdr:to>
    <xdr:cxnSp macro="">
      <xdr:nvCxnSpPr>
        <xdr:cNvPr id="8" name="Straight Connector 7"/>
        <xdr:cNvCxnSpPr/>
      </xdr:nvCxnSpPr>
      <xdr:spPr>
        <a:xfrm rot="5400000">
          <a:off x="-5010150" y="6286500"/>
          <a:ext cx="10925176" cy="952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4</xdr:row>
      <xdr:rowOff>161924</xdr:rowOff>
    </xdr:from>
    <xdr:to>
      <xdr:col>14</xdr:col>
      <xdr:colOff>180976</xdr:colOff>
      <xdr:row>70</xdr:row>
      <xdr:rowOff>161923</xdr:rowOff>
    </xdr:to>
    <xdr:cxnSp macro="">
      <xdr:nvCxnSpPr>
        <xdr:cNvPr id="9" name="Straight Connector 8"/>
        <xdr:cNvCxnSpPr/>
      </xdr:nvCxnSpPr>
      <xdr:spPr>
        <a:xfrm rot="16200000" flipH="1">
          <a:off x="1609726" y="6276974"/>
          <a:ext cx="10953749" cy="19050"/>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70</xdr:row>
      <xdr:rowOff>114300</xdr:rowOff>
    </xdr:from>
    <xdr:to>
      <xdr:col>14</xdr:col>
      <xdr:colOff>219075</xdr:colOff>
      <xdr:row>70</xdr:row>
      <xdr:rowOff>142875</xdr:rowOff>
    </xdr:to>
    <xdr:cxnSp macro="">
      <xdr:nvCxnSpPr>
        <xdr:cNvPr id="10" name="Straight Connector 9"/>
        <xdr:cNvCxnSpPr/>
      </xdr:nvCxnSpPr>
      <xdr:spPr>
        <a:xfrm>
          <a:off x="438150" y="11715750"/>
          <a:ext cx="6696075"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5</xdr:row>
      <xdr:rowOff>152400</xdr:rowOff>
    </xdr:from>
    <xdr:to>
      <xdr:col>14</xdr:col>
      <xdr:colOff>66675</xdr:colOff>
      <xdr:row>6</xdr:row>
      <xdr:rowOff>19050</xdr:rowOff>
    </xdr:to>
    <xdr:cxnSp macro="">
      <xdr:nvCxnSpPr>
        <xdr:cNvPr id="23" name="Straight Connector 22"/>
        <xdr:cNvCxnSpPr/>
      </xdr:nvCxnSpPr>
      <xdr:spPr>
        <a:xfrm>
          <a:off x="581025" y="962025"/>
          <a:ext cx="640080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69</xdr:row>
      <xdr:rowOff>142875</xdr:rowOff>
    </xdr:from>
    <xdr:to>
      <xdr:col>14</xdr:col>
      <xdr:colOff>19050</xdr:colOff>
      <xdr:row>70</xdr:row>
      <xdr:rowOff>9525</xdr:rowOff>
    </xdr:to>
    <xdr:cxnSp macro="">
      <xdr:nvCxnSpPr>
        <xdr:cNvPr id="26" name="Straight Connector 25"/>
        <xdr:cNvCxnSpPr/>
      </xdr:nvCxnSpPr>
      <xdr:spPr>
        <a:xfrm>
          <a:off x="571500" y="11582400"/>
          <a:ext cx="636270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247648</xdr:colOff>
      <xdr:row>5</xdr:row>
      <xdr:rowOff>142874</xdr:rowOff>
    </xdr:from>
    <xdr:to>
      <xdr:col>2</xdr:col>
      <xdr:colOff>247652</xdr:colOff>
      <xdr:row>69</xdr:row>
      <xdr:rowOff>152399</xdr:rowOff>
    </xdr:to>
    <xdr:cxnSp macro="">
      <xdr:nvCxnSpPr>
        <xdr:cNvPr id="27" name="Straight Connector 26"/>
        <xdr:cNvCxnSpPr/>
      </xdr:nvCxnSpPr>
      <xdr:spPr>
        <a:xfrm rot="16200000" flipH="1">
          <a:off x="-4719638" y="6272210"/>
          <a:ext cx="10639425" cy="4"/>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28576</xdr:colOff>
      <xdr:row>6</xdr:row>
      <xdr:rowOff>57153</xdr:rowOff>
    </xdr:from>
    <xdr:to>
      <xdr:col>14</xdr:col>
      <xdr:colOff>57150</xdr:colOff>
      <xdr:row>70</xdr:row>
      <xdr:rowOff>47625</xdr:rowOff>
    </xdr:to>
    <xdr:cxnSp macro="">
      <xdr:nvCxnSpPr>
        <xdr:cNvPr id="28" name="Straight Connector 27"/>
        <xdr:cNvCxnSpPr/>
      </xdr:nvCxnSpPr>
      <xdr:spPr>
        <a:xfrm rot="16200000" flipV="1">
          <a:off x="1647827" y="6324602"/>
          <a:ext cx="10620372" cy="28574"/>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24</xdr:row>
      <xdr:rowOff>142875</xdr:rowOff>
    </xdr:from>
    <xdr:to>
      <xdr:col>1</xdr:col>
      <xdr:colOff>76200</xdr:colOff>
      <xdr:row>26</xdr:row>
      <xdr:rowOff>6350</xdr:rowOff>
    </xdr:to>
    <xdr:sp macro="" textlink="">
      <xdr:nvSpPr>
        <xdr:cNvPr id="2" name="Text Box 3"/>
        <xdr:cNvSpPr txBox="1">
          <a:spLocks noChangeArrowheads="1"/>
        </xdr:cNvSpPr>
      </xdr:nvSpPr>
      <xdr:spPr bwMode="auto">
        <a:xfrm>
          <a:off x="0" y="4772025"/>
          <a:ext cx="76200" cy="2000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26</xdr:row>
      <xdr:rowOff>6350</xdr:rowOff>
    </xdr:to>
    <xdr:sp macro="" textlink="">
      <xdr:nvSpPr>
        <xdr:cNvPr id="3" name="Text Box 5"/>
        <xdr:cNvSpPr txBox="1">
          <a:spLocks noChangeArrowheads="1"/>
        </xdr:cNvSpPr>
      </xdr:nvSpPr>
      <xdr:spPr bwMode="auto">
        <a:xfrm>
          <a:off x="0" y="4772025"/>
          <a:ext cx="76200" cy="2000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4" name="Text Box 1"/>
        <xdr:cNvSpPr txBox="1">
          <a:spLocks noChangeArrowheads="1"/>
        </xdr:cNvSpPr>
      </xdr:nvSpPr>
      <xdr:spPr bwMode="auto">
        <a:xfrm>
          <a:off x="0" y="4772025"/>
          <a:ext cx="76200" cy="180975"/>
        </a:xfrm>
        <a:prstGeom prst="rect">
          <a:avLst/>
        </a:prstGeom>
        <a:noFill/>
        <a:ln w="9525">
          <a:noFill/>
          <a:miter lim="800000"/>
          <a:headEnd/>
          <a:tailEnd/>
        </a:ln>
      </xdr:spPr>
    </xdr:sp>
    <xdr:clientData/>
  </xdr:twoCellAnchor>
  <xdr:twoCellAnchor editAs="oneCell">
    <xdr:from>
      <xdr:col>2</xdr:col>
      <xdr:colOff>19050</xdr:colOff>
      <xdr:row>1</xdr:row>
      <xdr:rowOff>57150</xdr:rowOff>
    </xdr:from>
    <xdr:to>
      <xdr:col>5</xdr:col>
      <xdr:colOff>19050</xdr:colOff>
      <xdr:row>4</xdr:row>
      <xdr:rowOff>82550</xdr:rowOff>
    </xdr:to>
    <xdr:pic>
      <xdr:nvPicPr>
        <xdr:cNvPr id="6" name="Picture 2"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552450" y="222250"/>
          <a:ext cx="571500" cy="673100"/>
        </a:xfrm>
        <a:prstGeom prst="rect">
          <a:avLst/>
        </a:prstGeom>
        <a:noFill/>
        <a:ln w="9525">
          <a:noFill/>
          <a:miter lim="800000"/>
          <a:headEnd/>
          <a:tailEnd/>
        </a:ln>
      </xdr:spPr>
    </xdr:pic>
    <xdr:clientData fLocksWithSheet="0"/>
  </xdr:twoCellAnchor>
  <xdr:twoCellAnchor editAs="oneCell">
    <xdr:from>
      <xdr:col>1</xdr:col>
      <xdr:colOff>0</xdr:colOff>
      <xdr:row>24</xdr:row>
      <xdr:rowOff>142875</xdr:rowOff>
    </xdr:from>
    <xdr:to>
      <xdr:col>1</xdr:col>
      <xdr:colOff>76200</xdr:colOff>
      <xdr:row>26</xdr:row>
      <xdr:rowOff>6350</xdr:rowOff>
    </xdr:to>
    <xdr:sp macro="" textlink="">
      <xdr:nvSpPr>
        <xdr:cNvPr id="7" name="Text Box 3"/>
        <xdr:cNvSpPr txBox="1">
          <a:spLocks noChangeArrowheads="1"/>
        </xdr:cNvSpPr>
      </xdr:nvSpPr>
      <xdr:spPr bwMode="auto">
        <a:xfrm>
          <a:off x="0" y="4772025"/>
          <a:ext cx="76200" cy="2000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26</xdr:row>
      <xdr:rowOff>6350</xdr:rowOff>
    </xdr:to>
    <xdr:sp macro="" textlink="">
      <xdr:nvSpPr>
        <xdr:cNvPr id="8" name="Text Box 5"/>
        <xdr:cNvSpPr txBox="1">
          <a:spLocks noChangeArrowheads="1"/>
        </xdr:cNvSpPr>
      </xdr:nvSpPr>
      <xdr:spPr bwMode="auto">
        <a:xfrm>
          <a:off x="0" y="4772025"/>
          <a:ext cx="76200" cy="2000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9" name="Text Box 1"/>
        <xdr:cNvSpPr txBox="1">
          <a:spLocks noChangeArrowheads="1"/>
        </xdr:cNvSpPr>
      </xdr:nvSpPr>
      <xdr:spPr bwMode="auto">
        <a:xfrm>
          <a:off x="0" y="4772025"/>
          <a:ext cx="76200" cy="18097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11" name="Text Box 3">
          <a:extLst>
            <a:ext uri="{FF2B5EF4-FFF2-40B4-BE49-F238E27FC236}">
              <a16:creationId xmlns:a16="http://schemas.microsoft.com/office/drawing/2014/main" xmlns="" id="{D770FEC3-DE87-4E3B-BFEA-501489E4A52D}"/>
            </a:ext>
          </a:extLst>
        </xdr:cNvPr>
        <xdr:cNvSpPr txBox="1">
          <a:spLocks noChangeArrowheads="1"/>
        </xdr:cNvSpPr>
      </xdr:nvSpPr>
      <xdr:spPr bwMode="auto">
        <a:xfrm>
          <a:off x="336550" y="4740275"/>
          <a:ext cx="76200" cy="1746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12" name="Text Box 5">
          <a:extLst>
            <a:ext uri="{FF2B5EF4-FFF2-40B4-BE49-F238E27FC236}">
              <a16:creationId xmlns:a16="http://schemas.microsoft.com/office/drawing/2014/main" xmlns="" id="{7346738A-73D3-4D6A-91A7-7CB2C7A6ACD8}"/>
            </a:ext>
          </a:extLst>
        </xdr:cNvPr>
        <xdr:cNvSpPr txBox="1">
          <a:spLocks noChangeArrowheads="1"/>
        </xdr:cNvSpPr>
      </xdr:nvSpPr>
      <xdr:spPr bwMode="auto">
        <a:xfrm>
          <a:off x="336550" y="4740275"/>
          <a:ext cx="76200" cy="1746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13" name="Text Box 1">
          <a:extLst>
            <a:ext uri="{FF2B5EF4-FFF2-40B4-BE49-F238E27FC236}">
              <a16:creationId xmlns:a16="http://schemas.microsoft.com/office/drawing/2014/main" xmlns="" id="{AB3B037E-C450-4561-A953-A247A40D3781}"/>
            </a:ext>
          </a:extLst>
        </xdr:cNvPr>
        <xdr:cNvSpPr txBox="1">
          <a:spLocks noChangeArrowheads="1"/>
        </xdr:cNvSpPr>
      </xdr:nvSpPr>
      <xdr:spPr bwMode="auto">
        <a:xfrm>
          <a:off x="336550" y="4740275"/>
          <a:ext cx="76200" cy="1746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15" name="Text Box 3">
          <a:extLst>
            <a:ext uri="{FF2B5EF4-FFF2-40B4-BE49-F238E27FC236}">
              <a16:creationId xmlns:a16="http://schemas.microsoft.com/office/drawing/2014/main" xmlns="" id="{9B65ED54-F1D4-4F02-BE19-0BAA8D28511D}"/>
            </a:ext>
          </a:extLst>
        </xdr:cNvPr>
        <xdr:cNvSpPr txBox="1">
          <a:spLocks noChangeArrowheads="1"/>
        </xdr:cNvSpPr>
      </xdr:nvSpPr>
      <xdr:spPr bwMode="auto">
        <a:xfrm>
          <a:off x="336550" y="4740275"/>
          <a:ext cx="76200" cy="1746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16" name="Text Box 5">
          <a:extLst>
            <a:ext uri="{FF2B5EF4-FFF2-40B4-BE49-F238E27FC236}">
              <a16:creationId xmlns:a16="http://schemas.microsoft.com/office/drawing/2014/main" xmlns="" id="{1CB20E5B-8C1D-4E89-90C5-8337E086411E}"/>
            </a:ext>
          </a:extLst>
        </xdr:cNvPr>
        <xdr:cNvSpPr txBox="1">
          <a:spLocks noChangeArrowheads="1"/>
        </xdr:cNvSpPr>
      </xdr:nvSpPr>
      <xdr:spPr bwMode="auto">
        <a:xfrm>
          <a:off x="336550" y="4740275"/>
          <a:ext cx="76200" cy="174625"/>
        </a:xfrm>
        <a:prstGeom prst="rect">
          <a:avLst/>
        </a:prstGeom>
        <a:noFill/>
        <a:ln w="9525">
          <a:noFill/>
          <a:miter lim="800000"/>
          <a:headEnd/>
          <a:tailEnd/>
        </a:ln>
      </xdr:spPr>
    </xdr:sp>
    <xdr:clientData/>
  </xdr:twoCellAnchor>
  <xdr:twoCellAnchor editAs="oneCell">
    <xdr:from>
      <xdr:col>1</xdr:col>
      <xdr:colOff>0</xdr:colOff>
      <xdr:row>24</xdr:row>
      <xdr:rowOff>142875</xdr:rowOff>
    </xdr:from>
    <xdr:to>
      <xdr:col>1</xdr:col>
      <xdr:colOff>76200</xdr:colOff>
      <xdr:row>25</xdr:row>
      <xdr:rowOff>152400</xdr:rowOff>
    </xdr:to>
    <xdr:sp macro="" textlink="">
      <xdr:nvSpPr>
        <xdr:cNvPr id="17" name="Text Box 1">
          <a:extLst>
            <a:ext uri="{FF2B5EF4-FFF2-40B4-BE49-F238E27FC236}">
              <a16:creationId xmlns:a16="http://schemas.microsoft.com/office/drawing/2014/main" xmlns="" id="{31FED3ED-4FAD-4E49-94C3-612408A9264B}"/>
            </a:ext>
          </a:extLst>
        </xdr:cNvPr>
        <xdr:cNvSpPr txBox="1">
          <a:spLocks noChangeArrowheads="1"/>
        </xdr:cNvSpPr>
      </xdr:nvSpPr>
      <xdr:spPr bwMode="auto">
        <a:xfrm>
          <a:off x="336550" y="4740275"/>
          <a:ext cx="76200" cy="1746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447675</xdr:colOff>
      <xdr:row>0</xdr:row>
      <xdr:rowOff>47625</xdr:rowOff>
    </xdr:from>
    <xdr:to>
      <xdr:col>5</xdr:col>
      <xdr:colOff>638175</xdr:colOff>
      <xdr:row>6</xdr:row>
      <xdr:rowOff>0</xdr:rowOff>
    </xdr:to>
    <xdr:pic>
      <xdr:nvPicPr>
        <xdr:cNvPr id="217140"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3305175" y="47625"/>
          <a:ext cx="800100" cy="9810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200025</xdr:colOff>
      <xdr:row>1</xdr:row>
      <xdr:rowOff>0</xdr:rowOff>
    </xdr:from>
    <xdr:to>
      <xdr:col>10</xdr:col>
      <xdr:colOff>293355</xdr:colOff>
      <xdr:row>4</xdr:row>
      <xdr:rowOff>142875</xdr:rowOff>
    </xdr:to>
    <xdr:sp macro="" textlink="">
      <xdr:nvSpPr>
        <xdr:cNvPr id="2049" name="AutoShape 1">
          <a:hlinkClick xmlns:r="http://schemas.openxmlformats.org/officeDocument/2006/relationships" r:id="rId1"/>
        </xdr:cNvPr>
        <xdr:cNvSpPr>
          <a:spLocks noChangeArrowheads="1"/>
        </xdr:cNvSpPr>
      </xdr:nvSpPr>
      <xdr:spPr bwMode="auto">
        <a:xfrm>
          <a:off x="6762750" y="171450"/>
          <a:ext cx="704850" cy="1038225"/>
        </a:xfrm>
        <a:prstGeom prst="rightArrow">
          <a:avLst>
            <a:gd name="adj1" fmla="val 50000"/>
            <a:gd name="adj2" fmla="val 25000"/>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1000" b="0" i="0" strike="noStrike">
              <a:solidFill>
                <a:srgbClr val="000000"/>
              </a:solidFill>
              <a:latin typeface="Arial"/>
              <a:cs typeface="Arial"/>
            </a:rPr>
            <a:t>Cara</a:t>
          </a:r>
        </a:p>
        <a:p>
          <a:pPr algn="l" rtl="1">
            <a:defRPr sz="1000"/>
          </a:pPr>
          <a:r>
            <a:rPr lang="id-ID" sz="1000" b="0" i="0" strike="noStrike">
              <a:solidFill>
                <a:srgbClr val="000000"/>
              </a:solidFill>
              <a:latin typeface="Arial"/>
              <a:cs typeface="Arial"/>
            </a:rPr>
            <a:t>Pengisian</a:t>
          </a:r>
        </a:p>
      </xdr:txBody>
    </xdr:sp>
    <xdr:clientData/>
  </xdr:twoCellAnchor>
  <xdr:twoCellAnchor editAs="oneCell">
    <xdr:from>
      <xdr:col>2</xdr:col>
      <xdr:colOff>0</xdr:colOff>
      <xdr:row>1</xdr:row>
      <xdr:rowOff>28575</xdr:rowOff>
    </xdr:from>
    <xdr:to>
      <xdr:col>2</xdr:col>
      <xdr:colOff>476250</xdr:colOff>
      <xdr:row>3</xdr:row>
      <xdr:rowOff>85725</xdr:rowOff>
    </xdr:to>
    <xdr:pic>
      <xdr:nvPicPr>
        <xdr:cNvPr id="210029" name="Picture 2" descr="Logo Pemko1 copy"/>
        <xdr:cNvPicPr>
          <a:picLocks noChangeAspect="1" noChangeArrowheads="1"/>
        </xdr:cNvPicPr>
      </xdr:nvPicPr>
      <xdr:blipFill>
        <a:blip xmlns:r="http://schemas.openxmlformats.org/officeDocument/2006/relationships" r:embed="rId2" cstate="print"/>
        <a:srcRect/>
        <a:stretch>
          <a:fillRect/>
        </a:stretch>
      </xdr:blipFill>
      <xdr:spPr bwMode="auto">
        <a:xfrm>
          <a:off x="47625" y="200025"/>
          <a:ext cx="457200" cy="542925"/>
        </a:xfrm>
        <a:prstGeom prst="rect">
          <a:avLst/>
        </a:prstGeom>
        <a:noFill/>
        <a:ln w="9525">
          <a:noFill/>
          <a:miter lim="800000"/>
          <a:headEnd/>
          <a:tailEnd/>
        </a:ln>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18</xdr:col>
      <xdr:colOff>114300</xdr:colOff>
      <xdr:row>1</xdr:row>
      <xdr:rowOff>19050</xdr:rowOff>
    </xdr:from>
    <xdr:to>
      <xdr:col>19</xdr:col>
      <xdr:colOff>85725</xdr:colOff>
      <xdr:row>4</xdr:row>
      <xdr:rowOff>68583</xdr:rowOff>
    </xdr:to>
    <xdr:sp macro="" textlink="">
      <xdr:nvSpPr>
        <xdr:cNvPr id="4097" name="AutoShape 1">
          <a:hlinkClick xmlns:r="http://schemas.openxmlformats.org/officeDocument/2006/relationships" r:id="rId1"/>
        </xdr:cNvPr>
        <xdr:cNvSpPr>
          <a:spLocks noChangeArrowheads="1"/>
        </xdr:cNvSpPr>
      </xdr:nvSpPr>
      <xdr:spPr bwMode="auto">
        <a:xfrm>
          <a:off x="9848850" y="190500"/>
          <a:ext cx="1190625" cy="895350"/>
        </a:xfrm>
        <a:prstGeom prst="rightArrow">
          <a:avLst>
            <a:gd name="adj1" fmla="val 50000"/>
            <a:gd name="adj2" fmla="val 33245"/>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800" b="0" i="0" strike="noStrike">
              <a:solidFill>
                <a:srgbClr val="000000"/>
              </a:solidFill>
              <a:latin typeface="Arial"/>
              <a:cs typeface="Arial"/>
            </a:rPr>
            <a:t>Cara</a:t>
          </a:r>
        </a:p>
        <a:p>
          <a:pPr algn="l" rtl="1">
            <a:defRPr sz="1000"/>
          </a:pPr>
          <a:r>
            <a:rPr lang="id-ID" sz="800" b="0" i="0" strike="noStrike">
              <a:solidFill>
                <a:srgbClr val="000000"/>
              </a:solidFill>
              <a:latin typeface="Arial"/>
              <a:cs typeface="Arial"/>
            </a:rPr>
            <a:t>Pengisian</a:t>
          </a:r>
        </a:p>
      </xdr:txBody>
    </xdr:sp>
    <xdr:clientData/>
  </xdr:twoCellAnchor>
  <xdr:twoCellAnchor editAs="oneCell">
    <xdr:from>
      <xdr:col>1</xdr:col>
      <xdr:colOff>171450</xdr:colOff>
      <xdr:row>1</xdr:row>
      <xdr:rowOff>28575</xdr:rowOff>
    </xdr:from>
    <xdr:to>
      <xdr:col>3</xdr:col>
      <xdr:colOff>177800</xdr:colOff>
      <xdr:row>3</xdr:row>
      <xdr:rowOff>161925</xdr:rowOff>
    </xdr:to>
    <xdr:pic>
      <xdr:nvPicPr>
        <xdr:cNvPr id="201338" name="Picture 2" descr="Logo Pemko1 copy"/>
        <xdr:cNvPicPr>
          <a:picLocks noChangeAspect="1" noChangeArrowheads="1"/>
        </xdr:cNvPicPr>
      </xdr:nvPicPr>
      <xdr:blipFill>
        <a:blip xmlns:r="http://schemas.openxmlformats.org/officeDocument/2006/relationships" r:embed="rId2" cstate="print"/>
        <a:srcRect/>
        <a:stretch>
          <a:fillRect/>
        </a:stretch>
      </xdr:blipFill>
      <xdr:spPr bwMode="auto">
        <a:xfrm>
          <a:off x="466725" y="200025"/>
          <a:ext cx="495300" cy="619125"/>
        </a:xfrm>
        <a:prstGeom prst="rect">
          <a:avLst/>
        </a:prstGeom>
        <a:noFill/>
        <a:ln w="9525">
          <a:noFill/>
          <a:miter lim="800000"/>
          <a:headEnd/>
          <a:tailEnd/>
        </a:ln>
      </xdr:spPr>
    </xdr:pic>
    <xdr:clientData fLocksWithSheet="0"/>
  </xdr:twoCellAnchor>
  <xdr:twoCellAnchor>
    <xdr:from>
      <xdr:col>18</xdr:col>
      <xdr:colOff>114300</xdr:colOff>
      <xdr:row>1</xdr:row>
      <xdr:rowOff>19050</xdr:rowOff>
    </xdr:from>
    <xdr:to>
      <xdr:col>19</xdr:col>
      <xdr:colOff>85725</xdr:colOff>
      <xdr:row>4</xdr:row>
      <xdr:rowOff>68583</xdr:rowOff>
    </xdr:to>
    <xdr:sp macro="" textlink="">
      <xdr:nvSpPr>
        <xdr:cNvPr id="4099" name="AutoShape 3">
          <a:hlinkClick xmlns:r="http://schemas.openxmlformats.org/officeDocument/2006/relationships" r:id="rId3"/>
        </xdr:cNvPr>
        <xdr:cNvSpPr>
          <a:spLocks noChangeArrowheads="1"/>
        </xdr:cNvSpPr>
      </xdr:nvSpPr>
      <xdr:spPr bwMode="auto">
        <a:xfrm>
          <a:off x="9848850" y="190500"/>
          <a:ext cx="1190625" cy="895350"/>
        </a:xfrm>
        <a:prstGeom prst="rightArrow">
          <a:avLst>
            <a:gd name="adj1" fmla="val 50000"/>
            <a:gd name="adj2" fmla="val 33245"/>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800" b="0" i="0" strike="noStrike">
              <a:solidFill>
                <a:srgbClr val="000000"/>
              </a:solidFill>
              <a:latin typeface="Arial"/>
              <a:cs typeface="Arial"/>
            </a:rPr>
            <a:t>Cara</a:t>
          </a:r>
        </a:p>
        <a:p>
          <a:pPr algn="l" rtl="1">
            <a:defRPr sz="1000"/>
          </a:pPr>
          <a:r>
            <a:rPr lang="id-ID" sz="800" b="0" i="0" strike="noStrike">
              <a:solidFill>
                <a:srgbClr val="000000"/>
              </a:solidFill>
              <a:latin typeface="Arial"/>
              <a:cs typeface="Arial"/>
            </a:rPr>
            <a:t>Pengisian</a:t>
          </a:r>
        </a:p>
      </xdr:txBody>
    </xdr:sp>
    <xdr:clientData/>
  </xdr:twoCellAnchor>
  <xdr:twoCellAnchor>
    <xdr:from>
      <xdr:col>18</xdr:col>
      <xdr:colOff>114300</xdr:colOff>
      <xdr:row>1</xdr:row>
      <xdr:rowOff>19050</xdr:rowOff>
    </xdr:from>
    <xdr:to>
      <xdr:col>19</xdr:col>
      <xdr:colOff>85725</xdr:colOff>
      <xdr:row>4</xdr:row>
      <xdr:rowOff>68583</xdr:rowOff>
    </xdr:to>
    <xdr:sp macro="" textlink="">
      <xdr:nvSpPr>
        <xdr:cNvPr id="4103" name="AutoShape 7">
          <a:hlinkClick xmlns:r="http://schemas.openxmlformats.org/officeDocument/2006/relationships" r:id="rId1"/>
        </xdr:cNvPr>
        <xdr:cNvSpPr>
          <a:spLocks noChangeArrowheads="1"/>
        </xdr:cNvSpPr>
      </xdr:nvSpPr>
      <xdr:spPr bwMode="auto">
        <a:xfrm>
          <a:off x="9848850" y="190500"/>
          <a:ext cx="1190625" cy="895350"/>
        </a:xfrm>
        <a:prstGeom prst="rightArrow">
          <a:avLst>
            <a:gd name="adj1" fmla="val 50000"/>
            <a:gd name="adj2" fmla="val 33245"/>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800" b="0" i="0" strike="noStrike">
              <a:solidFill>
                <a:srgbClr val="000000"/>
              </a:solidFill>
              <a:latin typeface="Arial"/>
              <a:cs typeface="Arial"/>
            </a:rPr>
            <a:t>Cara</a:t>
          </a:r>
        </a:p>
        <a:p>
          <a:pPr algn="l" rtl="1">
            <a:defRPr sz="1000"/>
          </a:pPr>
          <a:r>
            <a:rPr lang="id-ID" sz="800" b="0" i="0" strike="noStrike">
              <a:solidFill>
                <a:srgbClr val="000000"/>
              </a:solidFill>
              <a:latin typeface="Arial"/>
              <a:cs typeface="Arial"/>
            </a:rPr>
            <a:t>Pengisian</a:t>
          </a:r>
        </a:p>
      </xdr:txBody>
    </xdr:sp>
    <xdr:clientData/>
  </xdr:twoCellAnchor>
  <xdr:twoCellAnchor editAs="oneCell">
    <xdr:from>
      <xdr:col>1</xdr:col>
      <xdr:colOff>171450</xdr:colOff>
      <xdr:row>1</xdr:row>
      <xdr:rowOff>28575</xdr:rowOff>
    </xdr:from>
    <xdr:to>
      <xdr:col>3</xdr:col>
      <xdr:colOff>177800</xdr:colOff>
      <xdr:row>3</xdr:row>
      <xdr:rowOff>161925</xdr:rowOff>
    </xdr:to>
    <xdr:pic>
      <xdr:nvPicPr>
        <xdr:cNvPr id="201341" name="Picture 8" descr="Logo Pemko1 copy"/>
        <xdr:cNvPicPr>
          <a:picLocks noChangeAspect="1" noChangeArrowheads="1"/>
        </xdr:cNvPicPr>
      </xdr:nvPicPr>
      <xdr:blipFill>
        <a:blip xmlns:r="http://schemas.openxmlformats.org/officeDocument/2006/relationships" r:embed="rId2" cstate="print"/>
        <a:srcRect/>
        <a:stretch>
          <a:fillRect/>
        </a:stretch>
      </xdr:blipFill>
      <xdr:spPr bwMode="auto">
        <a:xfrm>
          <a:off x="466725" y="200025"/>
          <a:ext cx="495300" cy="619125"/>
        </a:xfrm>
        <a:prstGeom prst="rect">
          <a:avLst/>
        </a:prstGeom>
        <a:noFill/>
        <a:ln w="9525">
          <a:noFill/>
          <a:miter lim="800000"/>
          <a:headEnd/>
          <a:tailEnd/>
        </a:ln>
      </xdr:spPr>
    </xdr:pic>
    <xdr:clientData fLocksWithSheet="0"/>
  </xdr:twoCellAnchor>
  <xdr:twoCellAnchor>
    <xdr:from>
      <xdr:col>18</xdr:col>
      <xdr:colOff>114300</xdr:colOff>
      <xdr:row>1</xdr:row>
      <xdr:rowOff>19050</xdr:rowOff>
    </xdr:from>
    <xdr:to>
      <xdr:col>19</xdr:col>
      <xdr:colOff>85725</xdr:colOff>
      <xdr:row>4</xdr:row>
      <xdr:rowOff>68583</xdr:rowOff>
    </xdr:to>
    <xdr:sp macro="" textlink="">
      <xdr:nvSpPr>
        <xdr:cNvPr id="4105" name="AutoShape 9">
          <a:hlinkClick xmlns:r="http://schemas.openxmlformats.org/officeDocument/2006/relationships" r:id="rId3"/>
        </xdr:cNvPr>
        <xdr:cNvSpPr>
          <a:spLocks noChangeArrowheads="1"/>
        </xdr:cNvSpPr>
      </xdr:nvSpPr>
      <xdr:spPr bwMode="auto">
        <a:xfrm>
          <a:off x="9848850" y="190500"/>
          <a:ext cx="1190625" cy="895350"/>
        </a:xfrm>
        <a:prstGeom prst="rightArrow">
          <a:avLst>
            <a:gd name="adj1" fmla="val 50000"/>
            <a:gd name="adj2" fmla="val 33245"/>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800" b="0" i="0" strike="noStrike">
              <a:solidFill>
                <a:srgbClr val="000000"/>
              </a:solidFill>
              <a:latin typeface="Arial"/>
              <a:cs typeface="Arial"/>
            </a:rPr>
            <a:t>Cara</a:t>
          </a:r>
        </a:p>
        <a:p>
          <a:pPr algn="l" rtl="1">
            <a:defRPr sz="1000"/>
          </a:pPr>
          <a:r>
            <a:rPr lang="id-ID" sz="800" b="0" i="0" strike="noStrike">
              <a:solidFill>
                <a:srgbClr val="000000"/>
              </a:solidFill>
              <a:latin typeface="Arial"/>
              <a:cs typeface="Arial"/>
            </a:rPr>
            <a:t>Pengisian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66675</xdr:colOff>
      <xdr:row>1</xdr:row>
      <xdr:rowOff>49530</xdr:rowOff>
    </xdr:from>
    <xdr:to>
      <xdr:col>19</xdr:col>
      <xdr:colOff>76200</xdr:colOff>
      <xdr:row>4</xdr:row>
      <xdr:rowOff>125730</xdr:rowOff>
    </xdr:to>
    <xdr:sp macro="" textlink="">
      <xdr:nvSpPr>
        <xdr:cNvPr id="1027" name="AutoShape 3">
          <a:hlinkClick xmlns:r="http://schemas.openxmlformats.org/officeDocument/2006/relationships" r:id="rId1"/>
        </xdr:cNvPr>
        <xdr:cNvSpPr>
          <a:spLocks noChangeArrowheads="1"/>
        </xdr:cNvSpPr>
      </xdr:nvSpPr>
      <xdr:spPr bwMode="auto">
        <a:xfrm>
          <a:off x="13868400" y="228600"/>
          <a:ext cx="619125" cy="952500"/>
        </a:xfrm>
        <a:prstGeom prst="rightArrow">
          <a:avLst>
            <a:gd name="adj1" fmla="val 50000"/>
            <a:gd name="adj2" fmla="val 25000"/>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800" b="0" i="0" strike="noStrike">
              <a:solidFill>
                <a:srgbClr val="000000"/>
              </a:solidFill>
              <a:latin typeface="Arial"/>
              <a:cs typeface="Arial"/>
            </a:rPr>
            <a:t>Cara</a:t>
          </a:r>
        </a:p>
        <a:p>
          <a:pPr algn="l" rtl="1">
            <a:defRPr sz="1000"/>
          </a:pPr>
          <a:r>
            <a:rPr lang="id-ID" sz="800" b="0" i="0" strike="noStrike">
              <a:solidFill>
                <a:srgbClr val="000000"/>
              </a:solidFill>
              <a:latin typeface="Arial"/>
              <a:cs typeface="Arial"/>
            </a:rPr>
            <a:t>Pengisian</a:t>
          </a:r>
        </a:p>
      </xdr:txBody>
    </xdr:sp>
    <xdr:clientData/>
  </xdr:twoCellAnchor>
  <xdr:twoCellAnchor editAs="oneCell">
    <xdr:from>
      <xdr:col>3</xdr:col>
      <xdr:colOff>266700</xdr:colOff>
      <xdr:row>1</xdr:row>
      <xdr:rowOff>38100</xdr:rowOff>
    </xdr:from>
    <xdr:to>
      <xdr:col>3</xdr:col>
      <xdr:colOff>762000</xdr:colOff>
      <xdr:row>4</xdr:row>
      <xdr:rowOff>15875</xdr:rowOff>
    </xdr:to>
    <xdr:pic>
      <xdr:nvPicPr>
        <xdr:cNvPr id="211052" name="Picture 4" descr="Logo Pemko1 copy"/>
        <xdr:cNvPicPr>
          <a:picLocks noChangeAspect="1" noChangeArrowheads="1"/>
        </xdr:cNvPicPr>
      </xdr:nvPicPr>
      <xdr:blipFill>
        <a:blip xmlns:r="http://schemas.openxmlformats.org/officeDocument/2006/relationships" r:embed="rId2" cstate="print"/>
        <a:srcRect/>
        <a:stretch>
          <a:fillRect/>
        </a:stretch>
      </xdr:blipFill>
      <xdr:spPr bwMode="auto">
        <a:xfrm>
          <a:off x="876300" y="209550"/>
          <a:ext cx="495300" cy="628650"/>
        </a:xfrm>
        <a:prstGeom prst="rect">
          <a:avLst/>
        </a:prstGeom>
        <a:noFill/>
        <a:ln w="9525">
          <a:noFill/>
          <a:miter lim="800000"/>
          <a:headEnd/>
          <a:tailEnd/>
        </a:ln>
      </xdr:spPr>
    </xdr:pic>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168275</xdr:colOff>
      <xdr:row>4</xdr:row>
      <xdr:rowOff>6350</xdr:rowOff>
    </xdr:to>
    <xdr:pic>
      <xdr:nvPicPr>
        <xdr:cNvPr id="218164"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819150" y="247650"/>
          <a:ext cx="495300" cy="638175"/>
        </a:xfrm>
        <a:prstGeom prst="rect">
          <a:avLst/>
        </a:prstGeom>
        <a:noFill/>
        <a:ln w="9525">
          <a:noFill/>
          <a:miter lim="800000"/>
          <a:headEnd/>
          <a:tailEnd/>
        </a:ln>
      </xdr:spPr>
    </xdr:pic>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4</xdr:col>
      <xdr:colOff>168275</xdr:colOff>
      <xdr:row>4</xdr:row>
      <xdr:rowOff>22225</xdr:rowOff>
    </xdr:to>
    <xdr:pic>
      <xdr:nvPicPr>
        <xdr:cNvPr id="213045" name="Picture 1" descr="Logo Pemko1 copy"/>
        <xdr:cNvPicPr>
          <a:picLocks noChangeAspect="1" noChangeArrowheads="1"/>
        </xdr:cNvPicPr>
      </xdr:nvPicPr>
      <xdr:blipFill>
        <a:blip xmlns:r="http://schemas.openxmlformats.org/officeDocument/2006/relationships" r:embed="rId1" cstate="print"/>
        <a:srcRect/>
        <a:stretch>
          <a:fillRect/>
        </a:stretch>
      </xdr:blipFill>
      <xdr:spPr bwMode="auto">
        <a:xfrm>
          <a:off x="800100" y="247650"/>
          <a:ext cx="495300" cy="638175"/>
        </a:xfrm>
        <a:prstGeom prst="rect">
          <a:avLst/>
        </a:prstGeom>
        <a:noFill/>
        <a:ln w="9525">
          <a:noFill/>
          <a:miter lim="800000"/>
          <a:headEnd/>
          <a:tailEnd/>
        </a:ln>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KERJAAN%20KOMINFO%202019%20(KANTOR)/RKA%202019/PRA%20RKA%202019_Smart%20C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
      <sheetName val="LampA"/>
      <sheetName val="RECAP APBD"/>
      <sheetName val="SMART WARNET"/>
      <sheetName val="SMART UU40"/>
      <sheetName val="RECAP KEGIATAN BL"/>
      <sheetName val="MAJALAH+LAYANAN PENGADUAN"/>
      <sheetName val="PSI"/>
      <sheetName val="SMART APLIKASI"/>
      <sheetName val="SMART PELTIHAN PERS"/>
      <sheetName val="Sheet1"/>
      <sheetName val="Sheet2"/>
      <sheetName val="Compatibility Report"/>
    </sheetNames>
    <sheetDataSet>
      <sheetData sheetId="0"/>
      <sheetData sheetId="1"/>
      <sheetData sheetId="2">
        <row r="5">
          <cell r="B5" t="str">
            <v>Tahun Anggaran 2019</v>
          </cell>
        </row>
        <row r="45">
          <cell r="M45" t="str">
            <v>Pengguna Anggaran</v>
          </cell>
          <cell r="N45">
            <v>0</v>
          </cell>
          <cell r="O45">
            <v>0</v>
          </cell>
          <cell r="P45">
            <v>0</v>
          </cell>
          <cell r="Q45">
            <v>0</v>
          </cell>
          <cell r="R45">
            <v>0</v>
          </cell>
          <cell r="S45">
            <v>0</v>
          </cell>
        </row>
        <row r="46">
          <cell r="M46" t="str">
            <v>Satuan Kerja Perangkat Daerah</v>
          </cell>
          <cell r="N46">
            <v>0</v>
          </cell>
          <cell r="O46">
            <v>0</v>
          </cell>
          <cell r="P46">
            <v>0</v>
          </cell>
          <cell r="Q46">
            <v>0</v>
          </cell>
          <cell r="R46">
            <v>0</v>
          </cell>
          <cell r="S46">
            <v>0</v>
          </cell>
        </row>
        <row r="50">
          <cell r="M50" t="str">
            <v>Bustami, SH</v>
          </cell>
          <cell r="N50">
            <v>0</v>
          </cell>
          <cell r="O50">
            <v>0</v>
          </cell>
          <cell r="P50">
            <v>0</v>
          </cell>
          <cell r="Q50">
            <v>0</v>
          </cell>
          <cell r="R50">
            <v>0</v>
          </cell>
          <cell r="S50">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5.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7.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8.xml"/><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0.xml"/><Relationship Id="rId1" Type="http://schemas.openxmlformats.org/officeDocument/2006/relationships/printerSettings" Target="../printerSettings/printerSettings2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Sum(Q79:R84)"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4:S74"/>
  <sheetViews>
    <sheetView view="pageBreakPreview" topLeftCell="A38" zoomScaleSheetLayoutView="100" workbookViewId="0">
      <selection activeCell="L82" sqref="L82:N164"/>
    </sheetView>
  </sheetViews>
  <sheetFormatPr defaultColWidth="8.7109375" defaultRowHeight="12.75" x14ac:dyDescent="0.2"/>
  <cols>
    <col min="1" max="1" width="2.7109375" style="715" customWidth="1"/>
    <col min="2" max="2" width="2.5703125" style="715" customWidth="1"/>
    <col min="3" max="3" width="5" style="715" customWidth="1"/>
    <col min="4" max="4" width="3.5703125" style="715" customWidth="1"/>
    <col min="5" max="5" width="3.7109375" style="715" customWidth="1"/>
    <col min="6" max="6" width="9.28515625" style="715" customWidth="1"/>
    <col min="7" max="7" width="8.7109375" style="715"/>
    <col min="8" max="8" width="7" style="715" customWidth="1"/>
    <col min="9" max="9" width="2" style="715" customWidth="1"/>
    <col min="10" max="10" width="13.42578125" style="715" customWidth="1"/>
    <col min="11" max="12" width="8.7109375" style="715"/>
    <col min="13" max="13" width="4" style="715" customWidth="1"/>
    <col min="14" max="14" width="23.7109375" style="715" customWidth="1"/>
    <col min="15" max="15" width="5.42578125" style="715" customWidth="1"/>
    <col min="16" max="16" width="2.7109375" style="715" hidden="1" customWidth="1"/>
    <col min="17" max="18" width="8.7109375" style="715"/>
    <col min="19" max="19" width="19.28515625" style="715" customWidth="1"/>
    <col min="20" max="16384" width="8.7109375" style="715"/>
  </cols>
  <sheetData>
    <row r="4" spans="2:17" x14ac:dyDescent="0.2">
      <c r="B4" s="975"/>
      <c r="C4" s="975"/>
      <c r="D4" s="975"/>
      <c r="E4" s="975"/>
      <c r="F4" s="975"/>
      <c r="G4" s="975"/>
      <c r="H4" s="975"/>
      <c r="I4" s="975"/>
      <c r="J4" s="975"/>
      <c r="K4" s="975"/>
      <c r="L4" s="975"/>
      <c r="M4" s="975"/>
      <c r="N4" s="975"/>
      <c r="O4" s="975"/>
      <c r="P4" s="975"/>
    </row>
    <row r="5" spans="2:17" x14ac:dyDescent="0.2">
      <c r="B5" s="975"/>
      <c r="C5" s="975"/>
      <c r="D5" s="975"/>
      <c r="E5" s="975"/>
      <c r="F5" s="975"/>
      <c r="G5" s="975"/>
      <c r="H5" s="975"/>
      <c r="I5" s="975"/>
      <c r="J5" s="975"/>
      <c r="K5" s="975"/>
      <c r="L5" s="975"/>
      <c r="M5" s="975"/>
      <c r="N5" s="975"/>
      <c r="O5" s="975"/>
      <c r="P5" s="975"/>
    </row>
    <row r="6" spans="2:17" x14ac:dyDescent="0.2">
      <c r="B6" s="975"/>
      <c r="C6" s="975"/>
      <c r="D6" s="975"/>
      <c r="E6" s="975"/>
      <c r="F6" s="975"/>
      <c r="G6" s="975"/>
      <c r="H6" s="975"/>
      <c r="I6" s="975"/>
      <c r="J6" s="975"/>
      <c r="K6" s="975"/>
      <c r="L6" s="975"/>
      <c r="M6" s="975"/>
      <c r="N6" s="975"/>
      <c r="O6" s="975"/>
      <c r="P6" s="975"/>
      <c r="Q6" s="730"/>
    </row>
    <row r="7" spans="2:17" x14ac:dyDescent="0.2">
      <c r="B7" s="975"/>
      <c r="C7" s="975"/>
      <c r="D7" s="975"/>
      <c r="E7" s="975"/>
      <c r="F7" s="975"/>
      <c r="G7" s="975"/>
      <c r="H7" s="975"/>
      <c r="I7" s="975"/>
      <c r="J7" s="975"/>
      <c r="K7" s="975"/>
      <c r="L7" s="975"/>
      <c r="M7" s="975"/>
      <c r="N7" s="975"/>
      <c r="O7" s="975"/>
      <c r="P7" s="975"/>
    </row>
    <row r="8" spans="2:17" x14ac:dyDescent="0.2">
      <c r="B8" s="975"/>
      <c r="C8" s="975"/>
      <c r="D8" s="975"/>
      <c r="E8" s="975"/>
      <c r="F8" s="975"/>
      <c r="G8" s="975"/>
      <c r="H8" s="975"/>
      <c r="I8" s="975"/>
      <c r="J8" s="975"/>
      <c r="K8" s="975"/>
      <c r="L8" s="975"/>
      <c r="M8" s="975"/>
      <c r="N8" s="975"/>
      <c r="O8" s="975"/>
      <c r="P8" s="975"/>
    </row>
    <row r="9" spans="2:17" x14ac:dyDescent="0.2">
      <c r="B9" s="975"/>
      <c r="C9" s="975"/>
      <c r="D9" s="975"/>
      <c r="E9" s="975"/>
      <c r="F9" s="975"/>
      <c r="G9" s="975"/>
      <c r="H9" s="975"/>
      <c r="I9" s="975"/>
      <c r="J9" s="975"/>
      <c r="K9" s="975"/>
      <c r="L9" s="975"/>
      <c r="M9" s="975"/>
      <c r="N9" s="975"/>
      <c r="O9" s="975"/>
      <c r="P9" s="975"/>
    </row>
    <row r="10" spans="2:17" x14ac:dyDescent="0.2">
      <c r="B10" s="975"/>
      <c r="C10" s="975"/>
      <c r="D10" s="975"/>
      <c r="E10" s="975"/>
      <c r="F10" s="975"/>
      <c r="G10" s="975"/>
      <c r="H10" s="975"/>
      <c r="I10" s="975"/>
      <c r="J10" s="975"/>
      <c r="K10" s="975"/>
      <c r="L10" s="975"/>
      <c r="M10" s="975"/>
      <c r="N10" s="975"/>
      <c r="O10" s="975"/>
      <c r="P10" s="975"/>
    </row>
    <row r="11" spans="2:17" x14ac:dyDescent="0.2">
      <c r="B11" s="975"/>
      <c r="C11" s="975"/>
      <c r="D11" s="975"/>
      <c r="E11" s="975"/>
      <c r="F11" s="975"/>
      <c r="G11" s="975"/>
      <c r="H11" s="975"/>
      <c r="I11" s="975"/>
      <c r="J11" s="975"/>
      <c r="K11" s="975"/>
      <c r="L11" s="975"/>
      <c r="M11" s="975"/>
      <c r="N11" s="975"/>
      <c r="O11" s="975"/>
      <c r="P11" s="975"/>
    </row>
    <row r="12" spans="2:17" x14ac:dyDescent="0.2">
      <c r="B12" s="975"/>
      <c r="C12" s="975"/>
      <c r="D12" s="975"/>
      <c r="E12" s="975"/>
      <c r="F12" s="975"/>
      <c r="G12" s="975"/>
      <c r="H12" s="975"/>
      <c r="I12" s="975"/>
      <c r="J12" s="975"/>
      <c r="K12" s="975"/>
      <c r="L12" s="975"/>
      <c r="M12" s="975"/>
      <c r="N12" s="975"/>
      <c r="O12" s="975"/>
      <c r="P12" s="975"/>
    </row>
    <row r="13" spans="2:17" x14ac:dyDescent="0.2">
      <c r="B13" s="975"/>
      <c r="C13" s="975"/>
      <c r="D13" s="975"/>
      <c r="E13" s="975"/>
      <c r="F13" s="975"/>
      <c r="G13" s="975"/>
      <c r="H13" s="975"/>
      <c r="I13" s="975"/>
      <c r="J13" s="975"/>
      <c r="K13" s="975"/>
      <c r="L13" s="975"/>
      <c r="M13" s="975"/>
      <c r="N13" s="975"/>
      <c r="O13" s="975"/>
      <c r="P13" s="975"/>
    </row>
    <row r="14" spans="2:17" x14ac:dyDescent="0.2">
      <c r="B14" s="975"/>
      <c r="C14" s="975"/>
      <c r="D14" s="975"/>
      <c r="E14" s="975"/>
      <c r="F14" s="975"/>
      <c r="G14" s="975"/>
      <c r="H14" s="975"/>
      <c r="I14" s="975"/>
      <c r="J14" s="975"/>
      <c r="K14" s="975"/>
      <c r="L14" s="975"/>
      <c r="M14" s="975"/>
      <c r="N14" s="975"/>
      <c r="O14" s="975"/>
      <c r="P14" s="975"/>
    </row>
    <row r="15" spans="2:17" x14ac:dyDescent="0.2">
      <c r="B15" s="975"/>
      <c r="C15" s="975"/>
      <c r="D15" s="975"/>
      <c r="E15" s="975"/>
      <c r="F15" s="975"/>
      <c r="G15" s="975"/>
      <c r="H15" s="975"/>
      <c r="I15" s="975"/>
      <c r="J15" s="975"/>
      <c r="K15" s="975"/>
      <c r="L15" s="975"/>
      <c r="M15" s="975"/>
      <c r="N15" s="975"/>
      <c r="O15" s="975"/>
      <c r="P15" s="975"/>
    </row>
    <row r="16" spans="2:17" x14ac:dyDescent="0.2">
      <c r="B16" s="975"/>
      <c r="C16" s="975"/>
      <c r="D16" s="975"/>
      <c r="E16" s="975"/>
      <c r="F16" s="975"/>
      <c r="G16" s="975"/>
      <c r="H16" s="975"/>
      <c r="I16" s="975"/>
      <c r="J16" s="975"/>
      <c r="K16" s="975"/>
      <c r="L16" s="975"/>
      <c r="M16" s="975"/>
      <c r="N16" s="975"/>
      <c r="O16" s="975"/>
      <c r="P16" s="975"/>
    </row>
    <row r="17" spans="2:16" x14ac:dyDescent="0.2">
      <c r="B17" s="975"/>
      <c r="C17" s="975"/>
      <c r="D17" s="975"/>
      <c r="E17" s="975"/>
      <c r="F17" s="975"/>
      <c r="G17" s="975"/>
      <c r="H17" s="975"/>
      <c r="I17" s="975"/>
      <c r="J17" s="975"/>
      <c r="K17" s="975"/>
      <c r="L17" s="975"/>
      <c r="M17" s="975"/>
      <c r="N17" s="975"/>
      <c r="O17" s="975"/>
      <c r="P17" s="975"/>
    </row>
    <row r="18" spans="2:16" x14ac:dyDescent="0.2">
      <c r="B18" s="975"/>
      <c r="C18" s="975"/>
      <c r="D18" s="975"/>
      <c r="E18" s="975"/>
      <c r="F18" s="975"/>
      <c r="G18" s="975"/>
      <c r="H18" s="975"/>
      <c r="I18" s="975"/>
      <c r="J18" s="975"/>
      <c r="K18" s="975"/>
      <c r="L18" s="975"/>
      <c r="M18" s="975"/>
      <c r="N18" s="975"/>
      <c r="O18" s="975"/>
      <c r="P18" s="975"/>
    </row>
    <row r="19" spans="2:16" x14ac:dyDescent="0.2">
      <c r="B19" s="975"/>
      <c r="C19" s="975"/>
      <c r="D19" s="975"/>
      <c r="E19" s="975"/>
      <c r="F19" s="975"/>
      <c r="G19" s="975"/>
      <c r="H19" s="975"/>
      <c r="I19" s="975"/>
      <c r="J19" s="975"/>
      <c r="K19" s="975"/>
      <c r="L19" s="975"/>
      <c r="M19" s="975"/>
      <c r="N19" s="975"/>
      <c r="O19" s="975"/>
      <c r="P19" s="975"/>
    </row>
    <row r="20" spans="2:16" x14ac:dyDescent="0.2">
      <c r="B20" s="975"/>
      <c r="C20" s="975"/>
      <c r="D20" s="975"/>
      <c r="E20" s="975"/>
      <c r="F20" s="975"/>
      <c r="G20" s="975"/>
      <c r="H20" s="975"/>
      <c r="I20" s="975"/>
      <c r="J20" s="975"/>
      <c r="K20" s="975"/>
      <c r="L20" s="975"/>
      <c r="M20" s="975"/>
      <c r="N20" s="975"/>
      <c r="O20" s="975"/>
      <c r="P20" s="975"/>
    </row>
    <row r="21" spans="2:16" x14ac:dyDescent="0.2">
      <c r="B21" s="975"/>
      <c r="C21" s="975"/>
      <c r="D21" s="975"/>
      <c r="E21" s="975"/>
      <c r="F21" s="975"/>
      <c r="G21" s="975"/>
      <c r="H21" s="975"/>
      <c r="I21" s="975"/>
      <c r="J21" s="975"/>
      <c r="K21" s="975"/>
      <c r="L21" s="975"/>
      <c r="M21" s="975"/>
      <c r="N21" s="975"/>
      <c r="O21" s="975"/>
      <c r="P21" s="975"/>
    </row>
    <row r="22" spans="2:16" x14ac:dyDescent="0.2">
      <c r="B22" s="975"/>
      <c r="C22" s="975"/>
      <c r="D22" s="975"/>
      <c r="E22" s="975"/>
      <c r="F22" s="975"/>
      <c r="G22" s="975"/>
      <c r="H22" s="975"/>
      <c r="I22" s="975"/>
      <c r="J22" s="975"/>
      <c r="K22" s="975"/>
      <c r="L22" s="975"/>
      <c r="M22" s="975"/>
      <c r="N22" s="975"/>
      <c r="O22" s="975"/>
      <c r="P22" s="975"/>
    </row>
    <row r="23" spans="2:16" x14ac:dyDescent="0.2">
      <c r="B23" s="975"/>
      <c r="C23" s="975"/>
      <c r="D23" s="975"/>
      <c r="E23" s="975"/>
      <c r="F23" s="975"/>
      <c r="G23" s="975"/>
      <c r="H23" s="975"/>
      <c r="I23" s="975"/>
      <c r="J23" s="975"/>
      <c r="K23" s="975"/>
      <c r="L23" s="975"/>
      <c r="M23" s="975"/>
      <c r="N23" s="975"/>
      <c r="O23" s="975"/>
      <c r="P23" s="975"/>
    </row>
    <row r="24" spans="2:16" x14ac:dyDescent="0.2">
      <c r="B24" s="975"/>
      <c r="C24" s="975"/>
      <c r="D24" s="975"/>
      <c r="E24" s="975"/>
      <c r="F24" s="975"/>
      <c r="G24" s="975"/>
      <c r="H24" s="975"/>
      <c r="I24" s="975"/>
      <c r="J24" s="975"/>
      <c r="K24" s="975"/>
      <c r="L24" s="975"/>
      <c r="M24" s="975"/>
      <c r="N24" s="975"/>
      <c r="O24" s="975"/>
      <c r="P24" s="975"/>
    </row>
    <row r="25" spans="2:16" x14ac:dyDescent="0.2">
      <c r="B25" s="975"/>
      <c r="C25" s="975"/>
      <c r="D25" s="975"/>
      <c r="E25" s="975"/>
      <c r="F25" s="975"/>
      <c r="G25" s="975"/>
      <c r="H25" s="975"/>
      <c r="I25" s="975"/>
      <c r="J25" s="975"/>
      <c r="K25" s="975"/>
      <c r="L25" s="975"/>
      <c r="M25" s="975"/>
      <c r="N25" s="975"/>
      <c r="O25" s="975"/>
      <c r="P25" s="975"/>
    </row>
    <row r="26" spans="2:16" x14ac:dyDescent="0.2">
      <c r="B26" s="975"/>
      <c r="C26" s="975"/>
      <c r="D26" s="975"/>
      <c r="E26" s="975"/>
      <c r="F26" s="975"/>
      <c r="G26" s="975"/>
      <c r="H26" s="975"/>
      <c r="I26" s="975"/>
      <c r="J26" s="975"/>
      <c r="K26" s="975"/>
      <c r="L26" s="975"/>
      <c r="M26" s="975"/>
      <c r="N26" s="975"/>
      <c r="O26" s="975"/>
      <c r="P26" s="975"/>
    </row>
    <row r="27" spans="2:16" x14ac:dyDescent="0.2">
      <c r="B27" s="975"/>
      <c r="C27" s="975"/>
      <c r="D27" s="975"/>
      <c r="E27" s="975"/>
      <c r="F27" s="975"/>
      <c r="G27" s="975"/>
      <c r="H27" s="975"/>
      <c r="I27" s="975"/>
      <c r="J27" s="975"/>
      <c r="K27" s="975"/>
      <c r="L27" s="975"/>
      <c r="M27" s="975"/>
      <c r="N27" s="975"/>
      <c r="O27" s="975"/>
      <c r="P27" s="975"/>
    </row>
    <row r="28" spans="2:16" x14ac:dyDescent="0.2">
      <c r="B28" s="975"/>
      <c r="C28" s="975"/>
      <c r="D28" s="975"/>
      <c r="E28" s="975"/>
      <c r="F28" s="975"/>
      <c r="G28" s="975"/>
      <c r="H28" s="975"/>
      <c r="I28" s="975"/>
      <c r="J28" s="975"/>
      <c r="K28" s="975"/>
      <c r="L28" s="975"/>
      <c r="M28" s="975"/>
      <c r="N28" s="975"/>
      <c r="O28" s="975"/>
      <c r="P28" s="975"/>
    </row>
    <row r="29" spans="2:16" ht="23.25" customHeight="1" x14ac:dyDescent="0.2">
      <c r="B29" s="975"/>
      <c r="C29" s="2146" t="s">
        <v>1154</v>
      </c>
      <c r="D29" s="2146"/>
      <c r="E29" s="2146"/>
      <c r="F29" s="2146"/>
      <c r="G29" s="2146"/>
      <c r="H29" s="2146"/>
      <c r="I29" s="2146"/>
      <c r="J29" s="2146"/>
      <c r="K29" s="2146"/>
      <c r="L29" s="2146"/>
      <c r="M29" s="2146"/>
      <c r="N29" s="2146"/>
      <c r="O29" s="2146"/>
      <c r="P29" s="975"/>
    </row>
    <row r="30" spans="2:16" ht="12.75" customHeight="1" x14ac:dyDescent="0.2">
      <c r="B30" s="975"/>
      <c r="C30" s="2146"/>
      <c r="D30" s="2146"/>
      <c r="E30" s="2146"/>
      <c r="F30" s="2146"/>
      <c r="G30" s="2146"/>
      <c r="H30" s="2146"/>
      <c r="I30" s="2146"/>
      <c r="J30" s="2146"/>
      <c r="K30" s="2146"/>
      <c r="L30" s="2146"/>
      <c r="M30" s="2146"/>
      <c r="N30" s="2146"/>
      <c r="O30" s="2146"/>
      <c r="P30" s="975"/>
    </row>
    <row r="31" spans="2:16" x14ac:dyDescent="0.2">
      <c r="B31" s="975"/>
      <c r="C31" s="975"/>
      <c r="D31" s="975"/>
      <c r="E31" s="975"/>
      <c r="F31" s="975"/>
      <c r="G31" s="975"/>
      <c r="H31" s="975"/>
      <c r="I31" s="975"/>
      <c r="J31" s="975"/>
      <c r="K31" s="975"/>
      <c r="L31" s="975"/>
      <c r="M31" s="975"/>
      <c r="N31" s="975"/>
      <c r="O31" s="975"/>
      <c r="P31" s="975"/>
    </row>
    <row r="32" spans="2:16" x14ac:dyDescent="0.2">
      <c r="B32" s="975"/>
      <c r="C32" s="975"/>
      <c r="D32" s="975"/>
      <c r="E32" s="975"/>
      <c r="F32" s="975"/>
      <c r="G32" s="975"/>
      <c r="H32" s="975"/>
      <c r="I32" s="975"/>
      <c r="J32" s="975"/>
      <c r="K32" s="975"/>
      <c r="L32" s="975"/>
      <c r="M32" s="975"/>
      <c r="N32" s="975"/>
      <c r="O32" s="975"/>
      <c r="P32" s="975"/>
    </row>
    <row r="33" spans="2:19" ht="12.75" customHeight="1" x14ac:dyDescent="0.2">
      <c r="B33" s="975"/>
      <c r="C33" s="975"/>
      <c r="D33" s="2146" t="s">
        <v>183</v>
      </c>
      <c r="E33" s="2146"/>
      <c r="F33" s="2146"/>
      <c r="G33" s="2146"/>
      <c r="H33" s="2146"/>
      <c r="I33" s="2146"/>
      <c r="J33" s="2146"/>
      <c r="K33" s="2146"/>
      <c r="L33" s="2146"/>
      <c r="M33" s="2146"/>
      <c r="N33" s="2146"/>
      <c r="O33" s="975"/>
      <c r="P33" s="975"/>
    </row>
    <row r="34" spans="2:19" ht="12.75" customHeight="1" x14ac:dyDescent="0.2">
      <c r="B34" s="975"/>
      <c r="C34" s="975"/>
      <c r="D34" s="2146"/>
      <c r="E34" s="2146"/>
      <c r="F34" s="2146"/>
      <c r="G34" s="2146"/>
      <c r="H34" s="2146"/>
      <c r="I34" s="2146"/>
      <c r="J34" s="2146"/>
      <c r="K34" s="2146"/>
      <c r="L34" s="2146"/>
      <c r="M34" s="2146"/>
      <c r="N34" s="2146"/>
      <c r="O34" s="975"/>
      <c r="P34" s="975"/>
    </row>
    <row r="35" spans="2:19" ht="12.75" customHeight="1" x14ac:dyDescent="0.2">
      <c r="B35" s="975"/>
      <c r="C35" s="975"/>
      <c r="D35" s="2146" t="s">
        <v>33</v>
      </c>
      <c r="E35" s="2146"/>
      <c r="F35" s="2146"/>
      <c r="G35" s="2146"/>
      <c r="H35" s="2146"/>
      <c r="I35" s="2146"/>
      <c r="J35" s="2146"/>
      <c r="K35" s="2146"/>
      <c r="L35" s="2146"/>
      <c r="M35" s="2146"/>
      <c r="N35" s="2146"/>
      <c r="O35" s="975"/>
      <c r="P35" s="975"/>
    </row>
    <row r="36" spans="2:19" ht="12.75" customHeight="1" x14ac:dyDescent="0.2">
      <c r="B36" s="975"/>
      <c r="C36" s="975"/>
      <c r="D36" s="2146"/>
      <c r="E36" s="2146"/>
      <c r="F36" s="2146"/>
      <c r="G36" s="2146"/>
      <c r="H36" s="2146"/>
      <c r="I36" s="2146"/>
      <c r="J36" s="2146"/>
      <c r="K36" s="2146"/>
      <c r="L36" s="2146"/>
      <c r="M36" s="2146"/>
      <c r="N36" s="2146"/>
      <c r="O36" s="975"/>
      <c r="P36" s="975"/>
    </row>
    <row r="37" spans="2:19" ht="12.75" customHeight="1" x14ac:dyDescent="0.25">
      <c r="B37" s="975"/>
      <c r="C37" s="976"/>
      <c r="D37" s="2146" t="s">
        <v>933</v>
      </c>
      <c r="E37" s="2146"/>
      <c r="F37" s="2146"/>
      <c r="G37" s="2146"/>
      <c r="H37" s="2146"/>
      <c r="I37" s="2146"/>
      <c r="J37" s="2146"/>
      <c r="K37" s="2146"/>
      <c r="L37" s="2146"/>
      <c r="M37" s="2146"/>
      <c r="N37" s="2146"/>
      <c r="O37" s="975"/>
      <c r="P37" s="975"/>
    </row>
    <row r="38" spans="2:19" ht="12.75" customHeight="1" x14ac:dyDescent="0.2">
      <c r="B38" s="975"/>
      <c r="C38" s="813"/>
      <c r="D38" s="2146"/>
      <c r="E38" s="2146"/>
      <c r="F38" s="2146"/>
      <c r="G38" s="2146"/>
      <c r="H38" s="2146"/>
      <c r="I38" s="2146"/>
      <c r="J38" s="2146"/>
      <c r="K38" s="2146"/>
      <c r="L38" s="2146"/>
      <c r="M38" s="2146"/>
      <c r="N38" s="2146"/>
      <c r="O38" s="975"/>
      <c r="P38" s="975"/>
    </row>
    <row r="39" spans="2:19" ht="12.75" customHeight="1" x14ac:dyDescent="0.35">
      <c r="B39" s="975"/>
      <c r="C39" s="813"/>
      <c r="D39" s="1985"/>
      <c r="E39" s="1985"/>
      <c r="F39" s="1985"/>
      <c r="G39" s="1985"/>
      <c r="H39" s="1985"/>
      <c r="I39" s="1985"/>
      <c r="J39" s="1985"/>
      <c r="K39" s="1985"/>
      <c r="L39" s="1985"/>
      <c r="M39" s="1985"/>
      <c r="N39" s="1985"/>
      <c r="O39" s="975"/>
      <c r="P39" s="975"/>
      <c r="S39" s="715">
        <v>1</v>
      </c>
    </row>
    <row r="40" spans="2:19" ht="12.75" customHeight="1" x14ac:dyDescent="0.35">
      <c r="B40" s="975"/>
      <c r="C40" s="813"/>
      <c r="D40" s="1985"/>
      <c r="E40" s="1985"/>
      <c r="F40" s="1985"/>
      <c r="G40" s="1985"/>
      <c r="H40" s="1985"/>
      <c r="I40" s="1985"/>
      <c r="J40" s="1985"/>
      <c r="K40" s="1985"/>
      <c r="L40" s="1985"/>
      <c r="M40" s="1985"/>
      <c r="N40" s="1985"/>
      <c r="O40" s="975"/>
      <c r="P40" s="975"/>
    </row>
    <row r="41" spans="2:19" ht="12.75" customHeight="1" x14ac:dyDescent="0.35">
      <c r="B41" s="975"/>
      <c r="C41" s="813"/>
      <c r="D41" s="1985"/>
      <c r="E41" s="1985"/>
      <c r="F41" s="1985"/>
      <c r="G41" s="1985"/>
      <c r="H41" s="1985"/>
      <c r="I41" s="1985"/>
      <c r="J41" s="1985"/>
      <c r="K41" s="1985"/>
      <c r="L41" s="1985"/>
      <c r="M41" s="1985"/>
      <c r="N41" s="1985"/>
      <c r="O41" s="975"/>
      <c r="P41" s="975"/>
    </row>
    <row r="42" spans="2:19" ht="12.75" customHeight="1" x14ac:dyDescent="0.35">
      <c r="B42" s="975"/>
      <c r="C42" s="813"/>
      <c r="D42" s="1985"/>
      <c r="E42" s="1985"/>
      <c r="F42" s="1985"/>
      <c r="G42" s="1985"/>
      <c r="H42" s="1985"/>
      <c r="I42" s="1985"/>
      <c r="J42" s="1985"/>
      <c r="K42" s="1985"/>
      <c r="L42" s="1985"/>
      <c r="M42" s="1985"/>
      <c r="N42" s="1985"/>
      <c r="O42" s="975"/>
      <c r="P42" s="975"/>
    </row>
    <row r="43" spans="2:19" ht="12.75" customHeight="1" x14ac:dyDescent="0.35">
      <c r="B43" s="975"/>
      <c r="C43" s="813"/>
      <c r="D43" s="1985"/>
      <c r="E43" s="1985"/>
      <c r="F43" s="1985"/>
      <c r="G43" s="1985"/>
      <c r="H43" s="1985"/>
      <c r="I43" s="1985"/>
      <c r="J43" s="1985"/>
      <c r="K43" s="1985"/>
      <c r="L43" s="1985"/>
      <c r="M43" s="1985"/>
      <c r="N43" s="1985"/>
      <c r="O43" s="975"/>
      <c r="P43" s="975"/>
    </row>
    <row r="44" spans="2:19" ht="13.5" customHeight="1" x14ac:dyDescent="0.2">
      <c r="B44" s="975"/>
      <c r="C44" s="975"/>
      <c r="D44" s="975"/>
      <c r="E44" s="975"/>
      <c r="F44" s="975"/>
      <c r="G44" s="975"/>
      <c r="H44" s="975"/>
      <c r="I44" s="975"/>
      <c r="J44" s="975"/>
      <c r="K44" s="975"/>
      <c r="L44" s="975"/>
      <c r="M44" s="975"/>
      <c r="N44" s="975"/>
      <c r="O44" s="975"/>
      <c r="P44" s="975"/>
    </row>
    <row r="45" spans="2:19" ht="24" customHeight="1" x14ac:dyDescent="0.4">
      <c r="B45" s="975"/>
      <c r="C45" s="975"/>
      <c r="D45" s="975"/>
      <c r="E45" s="975"/>
      <c r="F45" s="975"/>
      <c r="G45" s="975"/>
      <c r="H45" s="2147"/>
      <c r="I45" s="2147"/>
      <c r="J45" s="2147"/>
      <c r="K45" s="2147"/>
      <c r="L45" s="2147"/>
      <c r="M45" s="975"/>
      <c r="N45" s="975"/>
      <c r="O45" s="975"/>
      <c r="P45" s="975"/>
    </row>
    <row r="46" spans="2:19" ht="6" customHeight="1" x14ac:dyDescent="0.2">
      <c r="B46" s="975"/>
      <c r="C46" s="975"/>
      <c r="D46" s="2145" t="s">
        <v>1153</v>
      </c>
      <c r="E46" s="2145"/>
      <c r="F46" s="2145"/>
      <c r="G46" s="2145"/>
      <c r="H46" s="2145"/>
      <c r="I46" s="2145"/>
      <c r="J46" s="2145"/>
      <c r="K46" s="2145"/>
      <c r="L46" s="2145"/>
      <c r="M46" s="2145"/>
      <c r="N46" s="2145"/>
      <c r="O46" s="975"/>
      <c r="P46" s="975"/>
    </row>
    <row r="47" spans="2:19" ht="3" customHeight="1" x14ac:dyDescent="0.2">
      <c r="B47" s="975"/>
      <c r="C47" s="975"/>
      <c r="D47" s="2145"/>
      <c r="E47" s="2145"/>
      <c r="F47" s="2145"/>
      <c r="G47" s="2145"/>
      <c r="H47" s="2145"/>
      <c r="I47" s="2145"/>
      <c r="J47" s="2145"/>
      <c r="K47" s="2145"/>
      <c r="L47" s="2145"/>
      <c r="M47" s="2145"/>
      <c r="N47" s="2145"/>
      <c r="O47" s="975"/>
      <c r="P47" s="975"/>
    </row>
    <row r="48" spans="2:19" ht="5.25" customHeight="1" x14ac:dyDescent="0.2">
      <c r="B48" s="975"/>
      <c r="C48" s="975"/>
      <c r="D48" s="2145"/>
      <c r="E48" s="2145"/>
      <c r="F48" s="2145"/>
      <c r="G48" s="2145"/>
      <c r="H48" s="2145"/>
      <c r="I48" s="2145"/>
      <c r="J48" s="2145"/>
      <c r="K48" s="2145"/>
      <c r="L48" s="2145"/>
      <c r="M48" s="2145"/>
      <c r="N48" s="2145"/>
      <c r="O48" s="975"/>
      <c r="P48" s="975"/>
    </row>
    <row r="49" spans="2:16" ht="12.75" hidden="1" customHeight="1" x14ac:dyDescent="0.2">
      <c r="B49" s="975"/>
      <c r="C49" s="975"/>
      <c r="D49" s="2145"/>
      <c r="E49" s="2145"/>
      <c r="F49" s="2145"/>
      <c r="G49" s="2145"/>
      <c r="H49" s="2145"/>
      <c r="I49" s="2145"/>
      <c r="J49" s="2145"/>
      <c r="K49" s="2145"/>
      <c r="L49" s="2145"/>
      <c r="M49" s="2145"/>
      <c r="N49" s="2145"/>
      <c r="O49" s="975"/>
      <c r="P49" s="975"/>
    </row>
    <row r="50" spans="2:16" ht="14.25" customHeight="1" x14ac:dyDescent="0.2">
      <c r="B50" s="975"/>
      <c r="C50" s="975"/>
      <c r="D50" s="2145"/>
      <c r="E50" s="2145"/>
      <c r="F50" s="2145"/>
      <c r="G50" s="2145"/>
      <c r="H50" s="2145"/>
      <c r="I50" s="2145"/>
      <c r="J50" s="2145"/>
      <c r="K50" s="2145"/>
      <c r="L50" s="2145"/>
      <c r="M50" s="2145"/>
      <c r="N50" s="2145"/>
      <c r="O50" s="975"/>
      <c r="P50" s="975"/>
    </row>
    <row r="51" spans="2:16" ht="12.75" customHeight="1" x14ac:dyDescent="0.2">
      <c r="B51" s="975"/>
      <c r="C51" s="975"/>
      <c r="D51" s="2145"/>
      <c r="E51" s="2145"/>
      <c r="F51" s="2145"/>
      <c r="G51" s="2145"/>
      <c r="H51" s="2145"/>
      <c r="I51" s="2145"/>
      <c r="J51" s="2145"/>
      <c r="K51" s="2145"/>
      <c r="L51" s="2145"/>
      <c r="M51" s="2145"/>
      <c r="N51" s="2145"/>
      <c r="O51" s="975"/>
      <c r="P51" s="975"/>
    </row>
    <row r="52" spans="2:16" ht="12.75" customHeight="1" x14ac:dyDescent="0.2">
      <c r="B52" s="975"/>
      <c r="C52" s="975"/>
      <c r="D52" s="2145"/>
      <c r="E52" s="2145"/>
      <c r="F52" s="2145"/>
      <c r="G52" s="2145"/>
      <c r="H52" s="2145"/>
      <c r="I52" s="2145"/>
      <c r="J52" s="2145"/>
      <c r="K52" s="2145"/>
      <c r="L52" s="2145"/>
      <c r="M52" s="2145"/>
      <c r="N52" s="2145"/>
      <c r="O52" s="975"/>
      <c r="P52" s="975"/>
    </row>
    <row r="53" spans="2:16" ht="12.75" customHeight="1" x14ac:dyDescent="0.2">
      <c r="B53" s="975"/>
      <c r="C53" s="975"/>
      <c r="D53" s="2145"/>
      <c r="E53" s="2145"/>
      <c r="F53" s="2145"/>
      <c r="G53" s="2145"/>
      <c r="H53" s="2145"/>
      <c r="I53" s="2145"/>
      <c r="J53" s="2145"/>
      <c r="K53" s="2145"/>
      <c r="L53" s="2145"/>
      <c r="M53" s="2145"/>
      <c r="N53" s="2145"/>
      <c r="O53" s="975"/>
      <c r="P53" s="975"/>
    </row>
    <row r="54" spans="2:16" ht="12.75" customHeight="1" x14ac:dyDescent="0.7">
      <c r="B54" s="975"/>
      <c r="C54" s="975"/>
      <c r="D54" s="1986"/>
      <c r="E54" s="1986"/>
      <c r="F54" s="1986"/>
      <c r="G54" s="1986"/>
      <c r="H54" s="1986"/>
      <c r="I54" s="1986"/>
      <c r="J54" s="1986"/>
      <c r="K54" s="1986"/>
      <c r="L54" s="1986"/>
      <c r="M54" s="1986"/>
      <c r="N54" s="1986"/>
      <c r="O54" s="975"/>
      <c r="P54" s="975"/>
    </row>
    <row r="55" spans="2:16" ht="12.75" customHeight="1" x14ac:dyDescent="0.7">
      <c r="B55" s="975"/>
      <c r="C55" s="975"/>
      <c r="D55" s="1986"/>
      <c r="E55" s="1986"/>
      <c r="F55" s="1986"/>
      <c r="G55" s="1986"/>
      <c r="H55" s="1986"/>
      <c r="I55" s="1986"/>
      <c r="J55" s="1986"/>
      <c r="K55" s="1986"/>
      <c r="L55" s="1986"/>
      <c r="M55" s="1986"/>
      <c r="N55" s="1986"/>
      <c r="O55" s="975"/>
      <c r="P55" s="975"/>
    </row>
    <row r="56" spans="2:16" x14ac:dyDescent="0.2">
      <c r="B56" s="975"/>
      <c r="C56" s="975"/>
      <c r="D56" s="975"/>
      <c r="E56" s="975"/>
      <c r="F56" s="975"/>
      <c r="G56" s="975"/>
      <c r="H56" s="975"/>
      <c r="I56" s="975"/>
      <c r="J56" s="975"/>
      <c r="K56" s="975"/>
      <c r="L56" s="975"/>
      <c r="M56" s="975"/>
      <c r="N56" s="975"/>
      <c r="O56" s="975"/>
      <c r="P56" s="975"/>
    </row>
    <row r="57" spans="2:16" x14ac:dyDescent="0.2">
      <c r="B57" s="975"/>
      <c r="C57" s="975"/>
      <c r="D57" s="975"/>
      <c r="E57" s="975"/>
      <c r="F57" s="975"/>
      <c r="G57" s="975"/>
      <c r="H57" s="975"/>
      <c r="I57" s="975"/>
      <c r="J57" s="975"/>
      <c r="K57" s="975"/>
      <c r="L57" s="975"/>
      <c r="M57" s="975"/>
      <c r="N57" s="975"/>
      <c r="O57" s="975"/>
      <c r="P57" s="975"/>
    </row>
    <row r="58" spans="2:16" x14ac:dyDescent="0.2">
      <c r="B58" s="975"/>
      <c r="C58" s="975"/>
      <c r="D58" s="975"/>
      <c r="E58" s="975"/>
      <c r="F58" s="975"/>
      <c r="G58" s="975"/>
      <c r="H58" s="975"/>
      <c r="I58" s="975"/>
      <c r="J58" s="975"/>
      <c r="K58" s="975"/>
      <c r="L58" s="975"/>
      <c r="M58" s="975"/>
      <c r="N58" s="975"/>
      <c r="O58" s="975"/>
      <c r="P58" s="975"/>
    </row>
    <row r="59" spans="2:16" x14ac:dyDescent="0.2">
      <c r="B59" s="975"/>
      <c r="C59" s="975"/>
      <c r="D59" s="975"/>
      <c r="E59" s="975"/>
      <c r="F59" s="975"/>
      <c r="G59" s="975"/>
      <c r="H59" s="975"/>
      <c r="I59" s="975"/>
      <c r="J59" s="975"/>
      <c r="K59" s="975"/>
      <c r="L59" s="975"/>
      <c r="M59" s="975"/>
      <c r="N59" s="975"/>
      <c r="O59" s="975"/>
      <c r="P59" s="975"/>
    </row>
    <row r="60" spans="2:16" ht="12.75" customHeight="1" x14ac:dyDescent="0.25">
      <c r="B60" s="975"/>
      <c r="C60" s="975"/>
      <c r="D60" s="2141" t="s">
        <v>60</v>
      </c>
      <c r="E60" s="2141"/>
      <c r="F60" s="2141"/>
      <c r="G60" s="2141"/>
      <c r="H60" s="2141"/>
      <c r="I60" s="2142" t="s">
        <v>185</v>
      </c>
      <c r="J60" s="2141" t="s">
        <v>435</v>
      </c>
      <c r="K60" s="2141"/>
      <c r="L60" s="2141"/>
      <c r="M60" s="2141"/>
      <c r="N60" s="2141"/>
      <c r="O60" s="979"/>
      <c r="P60" s="975"/>
    </row>
    <row r="61" spans="2:16" ht="12.75" customHeight="1" x14ac:dyDescent="0.25">
      <c r="B61" s="975"/>
      <c r="C61" s="975"/>
      <c r="D61" s="2141"/>
      <c r="E61" s="2141"/>
      <c r="F61" s="2141"/>
      <c r="G61" s="2141"/>
      <c r="H61" s="2141"/>
      <c r="I61" s="2142"/>
      <c r="J61" s="2141"/>
      <c r="K61" s="2141"/>
      <c r="L61" s="2141"/>
      <c r="M61" s="2141"/>
      <c r="N61" s="2141"/>
      <c r="O61" s="979"/>
      <c r="P61" s="975"/>
    </row>
    <row r="62" spans="2:16" ht="18" x14ac:dyDescent="0.25">
      <c r="B62" s="975"/>
      <c r="C62" s="975"/>
      <c r="D62" s="1984"/>
      <c r="E62" s="1984"/>
      <c r="F62" s="1984"/>
      <c r="G62" s="1984"/>
      <c r="H62" s="981"/>
      <c r="I62" s="981"/>
      <c r="J62" s="981"/>
      <c r="K62" s="981"/>
      <c r="L62" s="981"/>
      <c r="M62" s="981"/>
      <c r="N62" s="981"/>
      <c r="O62" s="979"/>
      <c r="P62" s="975"/>
    </row>
    <row r="63" spans="2:16" ht="12.75" customHeight="1" x14ac:dyDescent="0.25">
      <c r="B63" s="975"/>
      <c r="C63" s="975"/>
      <c r="D63" s="2141" t="s">
        <v>61</v>
      </c>
      <c r="E63" s="2141"/>
      <c r="F63" s="2141"/>
      <c r="G63" s="2141"/>
      <c r="H63" s="2141"/>
      <c r="I63" s="2142" t="s">
        <v>185</v>
      </c>
      <c r="J63" s="2141" t="s">
        <v>477</v>
      </c>
      <c r="K63" s="2141"/>
      <c r="L63" s="2141"/>
      <c r="M63" s="2141"/>
      <c r="N63" s="2141"/>
      <c r="O63" s="979"/>
      <c r="P63" s="975"/>
    </row>
    <row r="64" spans="2:16" ht="12.75" customHeight="1" x14ac:dyDescent="0.25">
      <c r="B64" s="975"/>
      <c r="C64" s="975"/>
      <c r="D64" s="2141"/>
      <c r="E64" s="2141"/>
      <c r="F64" s="2141"/>
      <c r="G64" s="2141"/>
      <c r="H64" s="2141"/>
      <c r="I64" s="2142"/>
      <c r="J64" s="2141"/>
      <c r="K64" s="2141"/>
      <c r="L64" s="2141"/>
      <c r="M64" s="2141"/>
      <c r="N64" s="2141"/>
      <c r="O64" s="979"/>
      <c r="P64" s="975"/>
    </row>
    <row r="65" spans="2:19" ht="18" x14ac:dyDescent="0.25">
      <c r="B65" s="975"/>
      <c r="C65" s="975"/>
      <c r="D65" s="1984"/>
      <c r="E65" s="1984"/>
      <c r="F65" s="1984"/>
      <c r="G65" s="1984"/>
      <c r="H65" s="1984"/>
      <c r="I65" s="979"/>
      <c r="J65" s="2141" t="s">
        <v>478</v>
      </c>
      <c r="K65" s="2141"/>
      <c r="L65" s="2141"/>
      <c r="M65" s="2141"/>
      <c r="N65" s="2141"/>
      <c r="O65" s="979"/>
      <c r="P65" s="975"/>
    </row>
    <row r="66" spans="2:19" ht="18" x14ac:dyDescent="0.25">
      <c r="B66" s="975"/>
      <c r="C66" s="975"/>
      <c r="D66" s="1984"/>
      <c r="E66" s="1984"/>
      <c r="F66" s="1984"/>
      <c r="G66" s="1984"/>
      <c r="H66" s="1984"/>
      <c r="I66" s="979"/>
      <c r="J66" s="982"/>
      <c r="K66" s="982"/>
      <c r="L66" s="982"/>
      <c r="M66" s="982"/>
      <c r="N66" s="982"/>
      <c r="O66" s="979"/>
      <c r="P66" s="975"/>
    </row>
    <row r="67" spans="2:19" ht="12.75" customHeight="1" x14ac:dyDescent="0.2">
      <c r="B67" s="975"/>
      <c r="C67" s="975"/>
      <c r="D67" s="2141" t="s">
        <v>8</v>
      </c>
      <c r="E67" s="2141"/>
      <c r="F67" s="2141"/>
      <c r="G67" s="2141"/>
      <c r="H67" s="2141"/>
      <c r="I67" s="2142" t="s">
        <v>185</v>
      </c>
      <c r="J67" s="2143">
        <f>'RECAP APBD'!K39</f>
        <v>8064624386</v>
      </c>
      <c r="K67" s="2143"/>
      <c r="L67" s="2143"/>
      <c r="M67" s="2143"/>
      <c r="N67" s="2143"/>
      <c r="O67" s="975"/>
      <c r="P67" s="975"/>
      <c r="S67" s="782"/>
    </row>
    <row r="68" spans="2:19" ht="12.75" customHeight="1" x14ac:dyDescent="0.2">
      <c r="B68" s="975"/>
      <c r="C68" s="975"/>
      <c r="D68" s="2141"/>
      <c r="E68" s="2141"/>
      <c r="F68" s="2141"/>
      <c r="G68" s="2141"/>
      <c r="H68" s="2141"/>
      <c r="I68" s="2142"/>
      <c r="J68" s="2143"/>
      <c r="K68" s="2143"/>
      <c r="L68" s="2143"/>
      <c r="M68" s="2143"/>
      <c r="N68" s="2143"/>
      <c r="O68" s="975"/>
      <c r="P68" s="975"/>
    </row>
    <row r="69" spans="2:19" x14ac:dyDescent="0.2">
      <c r="B69" s="975"/>
      <c r="C69" s="975"/>
      <c r="D69" s="975"/>
      <c r="E69" s="975"/>
      <c r="F69" s="975"/>
      <c r="G69" s="975"/>
      <c r="H69" s="975"/>
      <c r="I69" s="975"/>
      <c r="J69" s="975"/>
      <c r="K69" s="975"/>
      <c r="L69" s="975"/>
      <c r="M69" s="975"/>
      <c r="N69" s="975"/>
      <c r="O69" s="975"/>
      <c r="P69" s="975"/>
      <c r="S69" s="782"/>
    </row>
    <row r="70" spans="2:19" x14ac:dyDescent="0.2">
      <c r="B70" s="975"/>
      <c r="C70" s="975"/>
      <c r="D70" s="975"/>
      <c r="E70" s="975"/>
      <c r="F70" s="975"/>
      <c r="G70" s="975"/>
      <c r="H70" s="975"/>
      <c r="I70" s="975"/>
      <c r="J70" s="975"/>
      <c r="K70" s="975"/>
      <c r="L70" s="975"/>
      <c r="M70" s="975"/>
      <c r="N70" s="975"/>
      <c r="O70" s="975"/>
      <c r="P70" s="975"/>
    </row>
    <row r="71" spans="2:19" x14ac:dyDescent="0.2">
      <c r="B71" s="975"/>
      <c r="C71" s="975"/>
      <c r="D71" s="975"/>
      <c r="E71" s="975"/>
      <c r="F71" s="975"/>
      <c r="G71" s="975"/>
      <c r="H71" s="975"/>
      <c r="I71" s="975"/>
      <c r="J71" s="975"/>
      <c r="K71" s="975"/>
      <c r="L71" s="975"/>
      <c r="M71" s="975"/>
      <c r="N71" s="975"/>
      <c r="O71" s="975"/>
      <c r="P71" s="975"/>
    </row>
    <row r="72" spans="2:19" x14ac:dyDescent="0.2">
      <c r="B72" s="975"/>
      <c r="C72" s="975"/>
      <c r="D72" s="975"/>
      <c r="E72" s="975"/>
      <c r="F72" s="975"/>
      <c r="G72" s="975"/>
      <c r="H72" s="975"/>
      <c r="I72" s="975"/>
      <c r="J72" s="975"/>
      <c r="K72" s="975"/>
      <c r="L72" s="975"/>
      <c r="M72" s="975"/>
      <c r="N72" s="975"/>
      <c r="O72" s="975"/>
      <c r="P72" s="975"/>
    </row>
    <row r="73" spans="2:19" x14ac:dyDescent="0.2">
      <c r="B73" s="2140"/>
      <c r="C73" s="2140"/>
      <c r="D73" s="975"/>
      <c r="E73" s="975"/>
      <c r="F73" s="975"/>
      <c r="G73" s="975"/>
      <c r="H73" s="975"/>
      <c r="I73" s="975"/>
      <c r="J73" s="975"/>
      <c r="K73" s="975"/>
      <c r="L73" s="975"/>
      <c r="M73" s="975"/>
      <c r="N73" s="975"/>
      <c r="O73" s="2144"/>
      <c r="P73" s="2144"/>
    </row>
    <row r="74" spans="2:19" x14ac:dyDescent="0.2">
      <c r="B74" s="2140"/>
      <c r="C74" s="2140"/>
      <c r="D74" s="2140"/>
      <c r="E74" s="2140"/>
      <c r="F74" s="975"/>
      <c r="G74" s="975"/>
      <c r="H74" s="975"/>
      <c r="I74" s="975"/>
      <c r="J74" s="975"/>
      <c r="K74" s="975"/>
      <c r="L74" s="975"/>
      <c r="M74" s="975"/>
      <c r="N74" s="975"/>
      <c r="O74" s="975"/>
      <c r="P74" s="975"/>
    </row>
  </sheetData>
  <mergeCells count="19">
    <mergeCell ref="D46:N53"/>
    <mergeCell ref="C29:O30"/>
    <mergeCell ref="D33:N34"/>
    <mergeCell ref="D35:N36"/>
    <mergeCell ref="D37:N38"/>
    <mergeCell ref="H45:L45"/>
    <mergeCell ref="O73:P73"/>
    <mergeCell ref="D60:H61"/>
    <mergeCell ref="I60:I61"/>
    <mergeCell ref="J60:N61"/>
    <mergeCell ref="D63:H64"/>
    <mergeCell ref="I63:I64"/>
    <mergeCell ref="J63:N64"/>
    <mergeCell ref="B74:E74"/>
    <mergeCell ref="J65:N65"/>
    <mergeCell ref="D67:H68"/>
    <mergeCell ref="I67:I68"/>
    <mergeCell ref="J67:N68"/>
    <mergeCell ref="B73:C73"/>
  </mergeCells>
  <pageMargins left="0.72" right="0.23622047244094491" top="0.66" bottom="0.19685039370078741" header="0.79" footer="0.19685039370078741"/>
  <pageSetup paperSize="5" scale="90"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B1:T80"/>
  <sheetViews>
    <sheetView view="pageBreakPreview" topLeftCell="K28" zoomScale="70" zoomScaleNormal="100" zoomScaleSheetLayoutView="70" workbookViewId="0">
      <selection activeCell="P53" sqref="P53"/>
    </sheetView>
  </sheetViews>
  <sheetFormatPr defaultColWidth="8.7109375" defaultRowHeight="12.75" x14ac:dyDescent="0.2"/>
  <cols>
    <col min="1" max="1" width="4.140625" style="715" customWidth="1"/>
    <col min="2" max="11" width="2.7109375" style="715" customWidth="1"/>
    <col min="12" max="12" width="45.140625" style="715" customWidth="1"/>
    <col min="13" max="13" width="8.5703125" style="715" customWidth="1"/>
    <col min="14" max="14" width="11.28515625" style="715" customWidth="1"/>
    <col min="15" max="15" width="14.5703125" style="715" customWidth="1"/>
    <col min="16" max="17" width="16.5703125" style="715" customWidth="1"/>
    <col min="18" max="18" width="12.28515625" style="715" bestFit="1" customWidth="1"/>
    <col min="19" max="19" width="13.5703125" style="715" customWidth="1"/>
    <col min="20" max="20" width="11.85546875" style="715" bestFit="1" customWidth="1"/>
    <col min="21"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249</v>
      </c>
      <c r="C6" s="2463"/>
      <c r="D6" s="2463"/>
      <c r="E6" s="2463"/>
      <c r="F6" s="2463"/>
      <c r="G6" s="2463"/>
      <c r="H6" s="2463"/>
      <c r="I6" s="2463"/>
      <c r="J6" s="2463"/>
      <c r="K6" s="2463"/>
      <c r="L6" s="684" t="s">
        <v>442</v>
      </c>
      <c r="M6" s="2213" t="s">
        <v>437</v>
      </c>
      <c r="N6" s="2213"/>
      <c r="O6" s="2213"/>
      <c r="P6" s="2214"/>
      <c r="Q6" s="296"/>
    </row>
    <row r="7" spans="2:17" ht="12.95" customHeight="1" x14ac:dyDescent="0.2">
      <c r="B7" s="2471" t="s">
        <v>250</v>
      </c>
      <c r="C7" s="2355"/>
      <c r="D7" s="2355"/>
      <c r="E7" s="2355"/>
      <c r="F7" s="2355"/>
      <c r="G7" s="2355"/>
      <c r="H7" s="2355"/>
      <c r="I7" s="2355"/>
      <c r="J7" s="2355"/>
      <c r="K7" s="2355"/>
      <c r="L7" s="654" t="s">
        <v>441</v>
      </c>
      <c r="M7" s="2541" t="s">
        <v>466</v>
      </c>
      <c r="N7" s="2541"/>
      <c r="O7" s="2541"/>
      <c r="P7" s="2542"/>
      <c r="Q7" s="512"/>
    </row>
    <row r="8" spans="2:17" ht="12.95" customHeight="1" x14ac:dyDescent="0.2">
      <c r="B8" s="2471" t="s">
        <v>246</v>
      </c>
      <c r="C8" s="2355"/>
      <c r="D8" s="2355"/>
      <c r="E8" s="2355"/>
      <c r="F8" s="2355"/>
      <c r="G8" s="2355"/>
      <c r="H8" s="2355"/>
      <c r="I8" s="2355"/>
      <c r="J8" s="2355"/>
      <c r="K8" s="2355"/>
      <c r="L8" s="654" t="s">
        <v>443</v>
      </c>
      <c r="M8" s="2575" t="s">
        <v>124</v>
      </c>
      <c r="N8" s="2575"/>
      <c r="O8" s="2575"/>
      <c r="P8" s="2576"/>
      <c r="Q8" s="2036"/>
    </row>
    <row r="9" spans="2:17" s="717" customFormat="1" ht="12.95" customHeight="1" x14ac:dyDescent="0.2">
      <c r="B9" s="2571" t="s">
        <v>251</v>
      </c>
      <c r="C9" s="2548"/>
      <c r="D9" s="2548"/>
      <c r="E9" s="2548"/>
      <c r="F9" s="2548"/>
      <c r="G9" s="2548"/>
      <c r="H9" s="2548"/>
      <c r="I9" s="2548"/>
      <c r="J9" s="2548"/>
      <c r="K9" s="2548"/>
      <c r="L9" s="34" t="s">
        <v>447</v>
      </c>
      <c r="M9" s="2575" t="s">
        <v>132</v>
      </c>
      <c r="N9" s="2575"/>
      <c r="O9" s="2575"/>
      <c r="P9" s="2576"/>
      <c r="Q9" s="2036"/>
    </row>
    <row r="10" spans="2:17" s="717" customFormat="1" ht="12.95" customHeight="1" x14ac:dyDescent="0.2">
      <c r="B10" s="2522"/>
      <c r="C10" s="2277"/>
      <c r="D10" s="2277"/>
      <c r="E10" s="2277"/>
      <c r="F10" s="2277"/>
      <c r="G10" s="2277"/>
      <c r="H10" s="2277"/>
      <c r="I10" s="2277"/>
      <c r="J10" s="2277"/>
      <c r="K10" s="2277"/>
      <c r="L10" s="654"/>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16000000</v>
      </c>
      <c r="M12" s="35"/>
      <c r="N12" s="35"/>
      <c r="O12" s="35"/>
      <c r="P12" s="77"/>
      <c r="Q12" s="2045"/>
    </row>
    <row r="13" spans="2:17" ht="12.95" customHeight="1" x14ac:dyDescent="0.2">
      <c r="B13" s="2471" t="s">
        <v>223</v>
      </c>
      <c r="C13" s="2355"/>
      <c r="D13" s="2355"/>
      <c r="E13" s="2355"/>
      <c r="F13" s="2355"/>
      <c r="G13" s="2355"/>
      <c r="H13" s="2355"/>
      <c r="I13" s="2355"/>
      <c r="J13" s="2355"/>
      <c r="K13" s="2355"/>
      <c r="L13" s="152">
        <f>P30</f>
        <v>8000050</v>
      </c>
      <c r="M13" s="2578"/>
      <c r="N13" s="2578"/>
      <c r="O13" s="35"/>
      <c r="P13" s="77"/>
      <c r="Q13" s="2045"/>
    </row>
    <row r="14" spans="2:17" ht="12.95" customHeight="1" x14ac:dyDescent="0.2">
      <c r="B14" s="2471" t="s">
        <v>224</v>
      </c>
      <c r="C14" s="2355"/>
      <c r="D14" s="2355"/>
      <c r="E14" s="2355"/>
      <c r="F14" s="2355"/>
      <c r="G14" s="2355"/>
      <c r="H14" s="2355"/>
      <c r="I14" s="2355"/>
      <c r="J14" s="2355"/>
      <c r="K14" s="2355"/>
      <c r="L14" s="152">
        <f>L13+(L13*5%)</f>
        <v>8400052.5</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18" ht="12.95" customHeight="1" x14ac:dyDescent="0.2">
      <c r="B17" s="2454" t="s">
        <v>37</v>
      </c>
      <c r="C17" s="2286"/>
      <c r="D17" s="2286"/>
      <c r="E17" s="2286"/>
      <c r="F17" s="2286"/>
      <c r="G17" s="2286"/>
      <c r="H17" s="2286"/>
      <c r="I17" s="2286"/>
      <c r="J17" s="2286"/>
      <c r="K17" s="2455"/>
      <c r="L17" s="2228" t="s">
        <v>703</v>
      </c>
      <c r="M17" s="2228"/>
      <c r="N17" s="2577"/>
      <c r="O17" s="2474">
        <v>1</v>
      </c>
      <c r="P17" s="2229"/>
      <c r="Q17" s="2028"/>
    </row>
    <row r="18" spans="2:18" ht="12.95" customHeight="1" x14ac:dyDescent="0.2">
      <c r="B18" s="2454" t="s">
        <v>228</v>
      </c>
      <c r="C18" s="2286"/>
      <c r="D18" s="2286"/>
      <c r="E18" s="2286"/>
      <c r="F18" s="2286"/>
      <c r="G18" s="2286"/>
      <c r="H18" s="2286"/>
      <c r="I18" s="2286"/>
      <c r="J18" s="2286"/>
      <c r="K18" s="2455"/>
      <c r="L18" s="2228" t="s">
        <v>257</v>
      </c>
      <c r="M18" s="2228"/>
      <c r="N18" s="2577"/>
      <c r="O18" s="2459">
        <f>P30</f>
        <v>8000050</v>
      </c>
      <c r="P18" s="2460"/>
      <c r="Q18" s="2028"/>
    </row>
    <row r="19" spans="2:18" ht="12.95" customHeight="1" x14ac:dyDescent="0.2">
      <c r="B19" s="2454" t="s">
        <v>229</v>
      </c>
      <c r="C19" s="2286"/>
      <c r="D19" s="2286"/>
      <c r="E19" s="2286"/>
      <c r="F19" s="2286"/>
      <c r="G19" s="2286"/>
      <c r="H19" s="2286"/>
      <c r="I19" s="2286"/>
      <c r="J19" s="2286"/>
      <c r="K19" s="2455"/>
      <c r="L19" s="2228" t="s">
        <v>683</v>
      </c>
      <c r="M19" s="2228"/>
      <c r="N19" s="2577"/>
      <c r="O19" s="2474" t="s">
        <v>891</v>
      </c>
      <c r="P19" s="2229"/>
      <c r="Q19" s="2028"/>
    </row>
    <row r="20" spans="2:18" ht="12.95" customHeight="1" x14ac:dyDescent="0.2">
      <c r="B20" s="2454" t="s">
        <v>230</v>
      </c>
      <c r="C20" s="2286"/>
      <c r="D20" s="2286"/>
      <c r="E20" s="2286"/>
      <c r="F20" s="2286"/>
      <c r="G20" s="2286"/>
      <c r="H20" s="2286"/>
      <c r="I20" s="2286"/>
      <c r="J20" s="2286"/>
      <c r="K20" s="2455"/>
      <c r="L20" s="2228" t="s">
        <v>700</v>
      </c>
      <c r="M20" s="2228"/>
      <c r="N20" s="2577"/>
      <c r="O20" s="2474">
        <v>1</v>
      </c>
      <c r="P20" s="2229"/>
      <c r="Q20" s="2028"/>
    </row>
    <row r="21" spans="2:18" ht="6.95" customHeight="1" x14ac:dyDescent="0.2">
      <c r="B21" s="2445"/>
      <c r="C21" s="2446"/>
      <c r="D21" s="2446"/>
      <c r="E21" s="2446"/>
      <c r="F21" s="2446"/>
      <c r="G21" s="2446"/>
      <c r="H21" s="2446"/>
      <c r="I21" s="2446"/>
      <c r="J21" s="2446"/>
      <c r="K21" s="2446"/>
      <c r="L21" s="2446"/>
      <c r="M21" s="2446"/>
      <c r="N21" s="2446"/>
      <c r="O21" s="2446"/>
      <c r="P21" s="2447"/>
      <c r="Q21" s="2046"/>
    </row>
    <row r="22" spans="2:18" ht="12.95" customHeight="1" x14ac:dyDescent="0.2">
      <c r="B22" s="2215" t="s">
        <v>537</v>
      </c>
      <c r="C22" s="2216"/>
      <c r="D22" s="2216"/>
      <c r="E22" s="2216"/>
      <c r="F22" s="2216"/>
      <c r="G22" s="2216"/>
      <c r="H22" s="2216"/>
      <c r="I22" s="2216"/>
      <c r="J22" s="2216"/>
      <c r="K22" s="2216"/>
      <c r="L22" s="2216"/>
      <c r="M22" s="2216"/>
      <c r="N22" s="2216"/>
      <c r="O22" s="2216"/>
      <c r="P22" s="2486"/>
      <c r="Q22" s="2022"/>
    </row>
    <row r="23" spans="2:18" ht="12.95" customHeight="1" x14ac:dyDescent="0.2">
      <c r="B23" s="2487" t="s">
        <v>231</v>
      </c>
      <c r="C23" s="2488"/>
      <c r="D23" s="2488"/>
      <c r="E23" s="2488"/>
      <c r="F23" s="2488"/>
      <c r="G23" s="2488"/>
      <c r="H23" s="2488"/>
      <c r="I23" s="2488"/>
      <c r="J23" s="2488"/>
      <c r="K23" s="2488"/>
      <c r="L23" s="2488"/>
      <c r="M23" s="2488"/>
      <c r="N23" s="2488"/>
      <c r="O23" s="2488"/>
      <c r="P23" s="2489"/>
      <c r="Q23" s="520"/>
    </row>
    <row r="24" spans="2:18" ht="12.95" customHeight="1" x14ac:dyDescent="0.2">
      <c r="B24" s="2490" t="s">
        <v>38</v>
      </c>
      <c r="C24" s="2491"/>
      <c r="D24" s="2491"/>
      <c r="E24" s="2491"/>
      <c r="F24" s="2491"/>
      <c r="G24" s="2491"/>
      <c r="H24" s="2491"/>
      <c r="I24" s="2491"/>
      <c r="J24" s="2491"/>
      <c r="K24" s="2491"/>
      <c r="L24" s="2491"/>
      <c r="M24" s="2491"/>
      <c r="N24" s="2491"/>
      <c r="O24" s="2491"/>
      <c r="P24" s="2492"/>
      <c r="Q24" s="520"/>
    </row>
    <row r="25" spans="2:18"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18"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18"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18" ht="12.95" customHeight="1" x14ac:dyDescent="0.2">
      <c r="B28" s="2451"/>
      <c r="C28" s="2452"/>
      <c r="D28" s="2452"/>
      <c r="E28" s="2452"/>
      <c r="F28" s="2452"/>
      <c r="G28" s="2452"/>
      <c r="H28" s="2452"/>
      <c r="I28" s="2452"/>
      <c r="J28" s="2452"/>
      <c r="K28" s="2453"/>
      <c r="L28" s="2497"/>
      <c r="M28" s="2497"/>
      <c r="N28" s="2497"/>
      <c r="O28" s="2406"/>
      <c r="P28" s="719"/>
      <c r="Q28" s="2047"/>
    </row>
    <row r="29" spans="2:18" ht="12.95" customHeight="1" thickBot="1" x14ac:dyDescent="0.25">
      <c r="B29" s="2483">
        <v>1</v>
      </c>
      <c r="C29" s="2484"/>
      <c r="D29" s="2484"/>
      <c r="E29" s="2484"/>
      <c r="F29" s="2484"/>
      <c r="G29" s="2484"/>
      <c r="H29" s="2484"/>
      <c r="I29" s="2484"/>
      <c r="J29" s="2484"/>
      <c r="K29" s="2485"/>
      <c r="L29" s="690">
        <v>2</v>
      </c>
      <c r="M29" s="690">
        <v>3</v>
      </c>
      <c r="N29" s="690">
        <v>4</v>
      </c>
      <c r="O29" s="12">
        <v>5</v>
      </c>
      <c r="P29" s="79" t="s">
        <v>24</v>
      </c>
      <c r="Q29" s="2027"/>
    </row>
    <row r="30" spans="2:18" ht="12.95" customHeight="1" thickTop="1" x14ac:dyDescent="0.2">
      <c r="B30" s="355">
        <v>1</v>
      </c>
      <c r="C30" s="356" t="s">
        <v>440</v>
      </c>
      <c r="D30" s="356" t="s">
        <v>142</v>
      </c>
      <c r="E30" s="742"/>
      <c r="F30" s="743"/>
      <c r="G30" s="359">
        <v>5</v>
      </c>
      <c r="H30" s="359">
        <v>2</v>
      </c>
      <c r="I30" s="359"/>
      <c r="J30" s="359"/>
      <c r="K30" s="359"/>
      <c r="L30" s="28" t="s">
        <v>108</v>
      </c>
      <c r="M30" s="16"/>
      <c r="N30" s="16"/>
      <c r="O30" s="18"/>
      <c r="P30" s="81">
        <f>P32</f>
        <v>8000050</v>
      </c>
      <c r="Q30" s="2065">
        <v>16000100</v>
      </c>
      <c r="R30" s="720">
        <f>L12</f>
        <v>16000000</v>
      </c>
    </row>
    <row r="31" spans="2:18" ht="12.95" customHeight="1" x14ac:dyDescent="0.2">
      <c r="B31" s="355">
        <v>1</v>
      </c>
      <c r="C31" s="356" t="s">
        <v>440</v>
      </c>
      <c r="D31" s="356" t="s">
        <v>142</v>
      </c>
      <c r="E31" s="744" t="s">
        <v>142</v>
      </c>
      <c r="F31" s="358"/>
      <c r="G31" s="359"/>
      <c r="H31" s="359"/>
      <c r="I31" s="359"/>
      <c r="J31" s="359"/>
      <c r="K31" s="359"/>
      <c r="L31" s="25" t="s">
        <v>179</v>
      </c>
      <c r="M31" s="16"/>
      <c r="N31" s="16"/>
      <c r="O31" s="18"/>
      <c r="P31" s="82">
        <f>P32</f>
        <v>8000050</v>
      </c>
      <c r="Q31" s="2066"/>
      <c r="R31" s="721">
        <f>P30-R30</f>
        <v>-7999950</v>
      </c>
    </row>
    <row r="32" spans="2:18" ht="12.95" customHeight="1" x14ac:dyDescent="0.2">
      <c r="B32" s="355">
        <v>1</v>
      </c>
      <c r="C32" s="356" t="s">
        <v>440</v>
      </c>
      <c r="D32" s="356" t="s">
        <v>142</v>
      </c>
      <c r="E32" s="744" t="s">
        <v>142</v>
      </c>
      <c r="F32" s="745">
        <v>11</v>
      </c>
      <c r="G32" s="359"/>
      <c r="H32" s="359"/>
      <c r="I32" s="359"/>
      <c r="J32" s="359"/>
      <c r="K32" s="356"/>
      <c r="L32" s="25" t="s">
        <v>172</v>
      </c>
      <c r="M32" s="16"/>
      <c r="N32" s="16"/>
      <c r="O32" s="18"/>
      <c r="P32" s="82">
        <f>P34</f>
        <v>8000050</v>
      </c>
      <c r="Q32" s="2066"/>
    </row>
    <row r="33" spans="2:20" ht="12.95" customHeight="1" x14ac:dyDescent="0.2">
      <c r="B33" s="355"/>
      <c r="C33" s="356"/>
      <c r="D33" s="356"/>
      <c r="E33" s="744"/>
      <c r="F33" s="745"/>
      <c r="G33" s="359"/>
      <c r="H33" s="359"/>
      <c r="I33" s="359"/>
      <c r="J33" s="359"/>
      <c r="K33" s="356"/>
      <c r="L33" s="25"/>
      <c r="M33" s="16"/>
      <c r="N33" s="16"/>
      <c r="O33" s="18"/>
      <c r="P33" s="82"/>
      <c r="Q33" s="2066"/>
    </row>
    <row r="34" spans="2:20" ht="12.95" customHeight="1" x14ac:dyDescent="0.2">
      <c r="B34" s="355">
        <v>1</v>
      </c>
      <c r="C34" s="356" t="s">
        <v>440</v>
      </c>
      <c r="D34" s="356" t="s">
        <v>142</v>
      </c>
      <c r="E34" s="744" t="s">
        <v>142</v>
      </c>
      <c r="F34" s="745">
        <v>11</v>
      </c>
      <c r="G34" s="359">
        <v>5</v>
      </c>
      <c r="H34" s="359">
        <v>2</v>
      </c>
      <c r="I34" s="359">
        <v>2</v>
      </c>
      <c r="J34" s="359"/>
      <c r="K34" s="359"/>
      <c r="L34" s="56" t="s">
        <v>120</v>
      </c>
      <c r="M34" s="338"/>
      <c r="N34" s="185"/>
      <c r="O34" s="262"/>
      <c r="P34" s="82">
        <f>P35</f>
        <v>8000050</v>
      </c>
      <c r="Q34" s="2066"/>
    </row>
    <row r="35" spans="2:20" ht="12.95" customHeight="1" x14ac:dyDescent="0.2">
      <c r="B35" s="355">
        <v>1</v>
      </c>
      <c r="C35" s="356" t="s">
        <v>440</v>
      </c>
      <c r="D35" s="356" t="s">
        <v>142</v>
      </c>
      <c r="E35" s="744" t="s">
        <v>142</v>
      </c>
      <c r="F35" s="745">
        <v>11</v>
      </c>
      <c r="G35" s="359">
        <v>5</v>
      </c>
      <c r="H35" s="359">
        <v>2</v>
      </c>
      <c r="I35" s="359">
        <v>2</v>
      </c>
      <c r="J35" s="356" t="s">
        <v>144</v>
      </c>
      <c r="K35" s="359"/>
      <c r="L35" s="25" t="s">
        <v>115</v>
      </c>
      <c r="M35" s="338"/>
      <c r="N35" s="185"/>
      <c r="O35" s="262"/>
      <c r="P35" s="82">
        <f>P36+P51</f>
        <v>8000050</v>
      </c>
      <c r="Q35" s="2066"/>
    </row>
    <row r="36" spans="2:20" ht="12.95" customHeight="1" x14ac:dyDescent="0.2">
      <c r="B36" s="355">
        <v>1</v>
      </c>
      <c r="C36" s="356" t="s">
        <v>440</v>
      </c>
      <c r="D36" s="356" t="s">
        <v>142</v>
      </c>
      <c r="E36" s="744" t="s">
        <v>142</v>
      </c>
      <c r="F36" s="745">
        <v>11</v>
      </c>
      <c r="G36" s="359">
        <v>5</v>
      </c>
      <c r="H36" s="359">
        <v>2</v>
      </c>
      <c r="I36" s="359">
        <v>2</v>
      </c>
      <c r="J36" s="356" t="s">
        <v>144</v>
      </c>
      <c r="K36" s="356" t="s">
        <v>142</v>
      </c>
      <c r="L36" s="28" t="s">
        <v>133</v>
      </c>
      <c r="M36" s="722"/>
      <c r="N36" s="723"/>
      <c r="O36" s="724"/>
      <c r="P36" s="82">
        <f>SUM(P38:P48)+2755</f>
        <v>3750000</v>
      </c>
      <c r="Q36" s="2066"/>
      <c r="R36" s="721"/>
      <c r="S36" s="721"/>
    </row>
    <row r="37" spans="2:20" ht="12.95" customHeight="1" x14ac:dyDescent="0.2">
      <c r="B37" s="355"/>
      <c r="C37" s="359"/>
      <c r="D37" s="359"/>
      <c r="E37" s="746"/>
      <c r="F37" s="358"/>
      <c r="G37" s="359"/>
      <c r="H37" s="359"/>
      <c r="I37" s="359"/>
      <c r="J37" s="359"/>
      <c r="K37" s="747"/>
      <c r="L37" s="1557" t="s">
        <v>739</v>
      </c>
      <c r="M37" s="1560"/>
      <c r="N37" s="821"/>
      <c r="O37" s="61"/>
      <c r="P37" s="151"/>
      <c r="Q37" s="2067"/>
      <c r="S37" s="721"/>
    </row>
    <row r="38" spans="2:20" ht="24.95" customHeight="1" x14ac:dyDescent="0.2">
      <c r="B38" s="648"/>
      <c r="C38" s="748"/>
      <c r="D38" s="748"/>
      <c r="E38" s="749"/>
      <c r="F38" s="750"/>
      <c r="G38" s="748"/>
      <c r="H38" s="748"/>
      <c r="I38" s="748"/>
      <c r="J38" s="748"/>
      <c r="K38" s="751"/>
      <c r="L38" s="1559" t="s">
        <v>877</v>
      </c>
      <c r="M38" s="1536">
        <v>3</v>
      </c>
      <c r="N38" s="1536" t="s">
        <v>878</v>
      </c>
      <c r="O38" s="1561">
        <v>74460</v>
      </c>
      <c r="P38" s="1563">
        <f>O38*M38</f>
        <v>223380</v>
      </c>
      <c r="Q38" s="2068"/>
    </row>
    <row r="39" spans="2:20" ht="12.95" customHeight="1" x14ac:dyDescent="0.2">
      <c r="B39" s="752"/>
      <c r="C39" s="753"/>
      <c r="D39" s="753"/>
      <c r="E39" s="754"/>
      <c r="F39" s="753"/>
      <c r="G39" s="755"/>
      <c r="H39" s="755"/>
      <c r="I39" s="755"/>
      <c r="J39" s="755"/>
      <c r="K39" s="754"/>
      <c r="L39" s="1559" t="s">
        <v>879</v>
      </c>
      <c r="M39" s="1536">
        <v>33</v>
      </c>
      <c r="N39" s="1536" t="s">
        <v>880</v>
      </c>
      <c r="O39" s="1533">
        <v>3600</v>
      </c>
      <c r="P39" s="1563">
        <f>O39*M39</f>
        <v>118800</v>
      </c>
      <c r="Q39" s="2068"/>
      <c r="T39" s="725"/>
    </row>
    <row r="40" spans="2:20" ht="12.95" customHeight="1" x14ac:dyDescent="0.2">
      <c r="B40" s="752"/>
      <c r="C40" s="753"/>
      <c r="D40" s="753"/>
      <c r="E40" s="754"/>
      <c r="F40" s="756"/>
      <c r="G40" s="757"/>
      <c r="H40" s="757"/>
      <c r="I40" s="757"/>
      <c r="J40" s="757"/>
      <c r="K40" s="758"/>
      <c r="L40" s="1559" t="s">
        <v>881</v>
      </c>
      <c r="M40" s="1529"/>
      <c r="N40" s="1529"/>
      <c r="O40" s="1529"/>
      <c r="P40" s="83"/>
      <c r="Q40" s="2069"/>
      <c r="T40" s="725"/>
    </row>
    <row r="41" spans="2:20" ht="12.95" customHeight="1" x14ac:dyDescent="0.2">
      <c r="B41" s="752"/>
      <c r="C41" s="753"/>
      <c r="D41" s="753"/>
      <c r="E41" s="759"/>
      <c r="F41" s="358"/>
      <c r="G41" s="359"/>
      <c r="H41" s="359"/>
      <c r="I41" s="359"/>
      <c r="J41" s="359"/>
      <c r="K41" s="747"/>
      <c r="L41" s="1559" t="s">
        <v>882</v>
      </c>
      <c r="M41" s="1536">
        <v>2</v>
      </c>
      <c r="N41" s="1536" t="s">
        <v>883</v>
      </c>
      <c r="O41" s="1533">
        <v>241070</v>
      </c>
      <c r="P41" s="1563">
        <f>O41*M41</f>
        <v>482140</v>
      </c>
      <c r="Q41" s="2068"/>
    </row>
    <row r="42" spans="2:20" ht="12.95" customHeight="1" x14ac:dyDescent="0.2">
      <c r="B42" s="752"/>
      <c r="C42" s="753"/>
      <c r="D42" s="753"/>
      <c r="E42" s="759"/>
      <c r="F42" s="358"/>
      <c r="G42" s="359"/>
      <c r="H42" s="359"/>
      <c r="I42" s="359"/>
      <c r="J42" s="359"/>
      <c r="K42" s="747"/>
      <c r="L42" s="1559" t="s">
        <v>884</v>
      </c>
      <c r="M42" s="1529"/>
      <c r="N42" s="1529"/>
      <c r="O42" s="1529"/>
      <c r="P42" s="83"/>
      <c r="Q42" s="2069"/>
    </row>
    <row r="43" spans="2:20" ht="12.95" customHeight="1" x14ac:dyDescent="0.2">
      <c r="B43" s="752"/>
      <c r="C43" s="760"/>
      <c r="D43" s="760"/>
      <c r="E43" s="761"/>
      <c r="F43" s="762"/>
      <c r="G43" s="760"/>
      <c r="H43" s="760"/>
      <c r="I43" s="760"/>
      <c r="J43" s="760"/>
      <c r="K43" s="984"/>
      <c r="L43" s="1559" t="s">
        <v>885</v>
      </c>
      <c r="M43" s="1536">
        <v>7</v>
      </c>
      <c r="N43" s="1536" t="s">
        <v>883</v>
      </c>
      <c r="O43" s="1533">
        <v>83235</v>
      </c>
      <c r="P43" s="1563">
        <f>O43*M43</f>
        <v>582645</v>
      </c>
      <c r="Q43" s="2068"/>
    </row>
    <row r="44" spans="2:20" ht="12.95" customHeight="1" x14ac:dyDescent="0.2">
      <c r="B44" s="752"/>
      <c r="C44" s="760"/>
      <c r="D44" s="760"/>
      <c r="E44" s="761"/>
      <c r="F44" s="762"/>
      <c r="G44" s="760"/>
      <c r="H44" s="760"/>
      <c r="I44" s="760"/>
      <c r="J44" s="760"/>
      <c r="K44" s="984"/>
      <c r="L44" s="1559" t="s">
        <v>886</v>
      </c>
      <c r="M44" s="1529"/>
      <c r="N44" s="1529"/>
      <c r="O44" s="1529"/>
      <c r="P44" s="128"/>
      <c r="Q44" s="2070"/>
    </row>
    <row r="45" spans="2:20" ht="12.95" customHeight="1" x14ac:dyDescent="0.2">
      <c r="B45" s="752"/>
      <c r="C45" s="760"/>
      <c r="D45" s="760"/>
      <c r="E45" s="761"/>
      <c r="F45" s="762"/>
      <c r="G45" s="760"/>
      <c r="H45" s="760"/>
      <c r="I45" s="760"/>
      <c r="J45" s="760"/>
      <c r="K45" s="984"/>
      <c r="L45" s="1559" t="s">
        <v>882</v>
      </c>
      <c r="M45" s="1536">
        <v>4</v>
      </c>
      <c r="N45" s="1536" t="s">
        <v>883</v>
      </c>
      <c r="O45" s="1533">
        <v>260270</v>
      </c>
      <c r="P45" s="1563">
        <f>O45*M45</f>
        <v>1041080</v>
      </c>
      <c r="Q45" s="2068"/>
    </row>
    <row r="46" spans="2:20" ht="12.95" customHeight="1" x14ac:dyDescent="0.2">
      <c r="B46" s="752"/>
      <c r="C46" s="760"/>
      <c r="D46" s="760"/>
      <c r="E46" s="761"/>
      <c r="F46" s="762"/>
      <c r="G46" s="760"/>
      <c r="H46" s="760"/>
      <c r="I46" s="760"/>
      <c r="J46" s="760"/>
      <c r="K46" s="984"/>
      <c r="L46" s="1559" t="s">
        <v>740</v>
      </c>
      <c r="M46" s="1529"/>
      <c r="N46" s="1529"/>
      <c r="O46" s="1529"/>
      <c r="P46" s="128"/>
      <c r="Q46" s="2070"/>
    </row>
    <row r="47" spans="2:20" ht="24.6" customHeight="1" x14ac:dyDescent="0.2">
      <c r="B47" s="752"/>
      <c r="C47" s="760"/>
      <c r="D47" s="760"/>
      <c r="E47" s="761"/>
      <c r="F47" s="762"/>
      <c r="G47" s="760"/>
      <c r="H47" s="760"/>
      <c r="I47" s="760"/>
      <c r="J47" s="760"/>
      <c r="K47" s="984"/>
      <c r="L47" s="1559" t="s">
        <v>887</v>
      </c>
      <c r="M47" s="1536">
        <v>15</v>
      </c>
      <c r="N47" s="1536" t="s">
        <v>878</v>
      </c>
      <c r="O47" s="1533">
        <v>26880</v>
      </c>
      <c r="P47" s="1563">
        <f>O47*M47</f>
        <v>403200</v>
      </c>
      <c r="Q47" s="2068"/>
    </row>
    <row r="48" spans="2:20" ht="27" customHeight="1" x14ac:dyDescent="0.2">
      <c r="B48" s="752"/>
      <c r="C48" s="760"/>
      <c r="D48" s="760"/>
      <c r="E48" s="761"/>
      <c r="F48" s="762"/>
      <c r="G48" s="760"/>
      <c r="H48" s="760"/>
      <c r="I48" s="760"/>
      <c r="J48" s="760"/>
      <c r="K48" s="984"/>
      <c r="L48" s="1559" t="s">
        <v>888</v>
      </c>
      <c r="M48" s="1536">
        <v>5</v>
      </c>
      <c r="N48" s="1536" t="s">
        <v>889</v>
      </c>
      <c r="O48" s="1562">
        <v>179200</v>
      </c>
      <c r="P48" s="1563">
        <f>O48*M48</f>
        <v>896000</v>
      </c>
      <c r="Q48" s="2068"/>
    </row>
    <row r="49" spans="2:20" ht="27" customHeight="1" x14ac:dyDescent="0.2">
      <c r="B49" s="752"/>
      <c r="C49" s="760"/>
      <c r="D49" s="760"/>
      <c r="E49" s="761"/>
      <c r="F49" s="762"/>
      <c r="G49" s="760"/>
      <c r="H49" s="760"/>
      <c r="I49" s="760"/>
      <c r="J49" s="760"/>
      <c r="K49" s="984"/>
      <c r="L49" s="1559"/>
      <c r="M49" s="2064"/>
      <c r="N49" s="2064"/>
      <c r="O49" s="2072"/>
      <c r="P49" s="2116"/>
      <c r="Q49" s="2068"/>
    </row>
    <row r="50" spans="2:20" ht="12.95" customHeight="1" x14ac:dyDescent="0.2">
      <c r="B50" s="752"/>
      <c r="C50" s="760"/>
      <c r="D50" s="760"/>
      <c r="E50" s="761"/>
      <c r="F50" s="762"/>
      <c r="G50" s="760"/>
      <c r="H50" s="760"/>
      <c r="I50" s="760"/>
      <c r="J50" s="760"/>
      <c r="K50" s="984"/>
      <c r="L50" s="1558"/>
      <c r="M50" s="1556"/>
      <c r="N50" s="1080"/>
      <c r="O50" s="61"/>
      <c r="P50" s="128"/>
      <c r="Q50" s="2070"/>
    </row>
    <row r="51" spans="2:20" ht="12.95" customHeight="1" x14ac:dyDescent="0.2">
      <c r="B51" s="752">
        <v>1</v>
      </c>
      <c r="C51" s="356" t="s">
        <v>440</v>
      </c>
      <c r="D51" s="356" t="s">
        <v>142</v>
      </c>
      <c r="E51" s="763" t="s">
        <v>142</v>
      </c>
      <c r="F51" s="745">
        <v>11</v>
      </c>
      <c r="G51" s="359">
        <v>5</v>
      </c>
      <c r="H51" s="359">
        <v>2</v>
      </c>
      <c r="I51" s="359">
        <v>2</v>
      </c>
      <c r="J51" s="356" t="s">
        <v>144</v>
      </c>
      <c r="K51" s="356" t="s">
        <v>145</v>
      </c>
      <c r="L51" s="25" t="s">
        <v>121</v>
      </c>
      <c r="M51" s="776"/>
      <c r="N51" s="185"/>
      <c r="O51" s="270"/>
      <c r="P51" s="81">
        <f>P52</f>
        <v>4250050</v>
      </c>
      <c r="Q51" s="2065"/>
    </row>
    <row r="52" spans="2:20" ht="12.95" customHeight="1" x14ac:dyDescent="0.2">
      <c r="B52" s="752"/>
      <c r="C52" s="753"/>
      <c r="D52" s="753"/>
      <c r="E52" s="754"/>
      <c r="F52" s="753"/>
      <c r="G52" s="755"/>
      <c r="H52" s="755"/>
      <c r="I52" s="755"/>
      <c r="J52" s="755"/>
      <c r="K52" s="753"/>
      <c r="L52" s="1568" t="s">
        <v>890</v>
      </c>
      <c r="M52" s="2075">
        <v>12143</v>
      </c>
      <c r="N52" s="1565" t="s">
        <v>113</v>
      </c>
      <c r="O52" s="1566">
        <v>350</v>
      </c>
      <c r="P52" s="1567">
        <f>O52*M52</f>
        <v>4250050</v>
      </c>
      <c r="Q52" s="2071"/>
    </row>
    <row r="53" spans="2:20" ht="12.95" customHeight="1" x14ac:dyDescent="0.2">
      <c r="B53" s="2073"/>
      <c r="C53" s="762"/>
      <c r="D53" s="762"/>
      <c r="E53" s="761"/>
      <c r="F53" s="762"/>
      <c r="G53" s="760"/>
      <c r="H53" s="760"/>
      <c r="I53" s="760"/>
      <c r="J53" s="760"/>
      <c r="K53" s="762"/>
      <c r="L53" s="2074"/>
      <c r="M53" s="2075"/>
      <c r="N53" s="2076"/>
      <c r="O53" s="2077"/>
      <c r="P53" s="2117"/>
      <c r="Q53" s="2071"/>
    </row>
    <row r="54" spans="2:20" ht="12.95" customHeight="1" x14ac:dyDescent="0.2">
      <c r="B54" s="764"/>
      <c r="C54" s="765"/>
      <c r="D54" s="765"/>
      <c r="E54" s="765"/>
      <c r="F54" s="765"/>
      <c r="G54" s="765"/>
      <c r="H54" s="765"/>
      <c r="I54" s="765"/>
      <c r="J54" s="765"/>
      <c r="K54" s="765"/>
      <c r="L54" s="738"/>
      <c r="M54" s="739"/>
      <c r="N54" s="740"/>
      <c r="O54" s="741"/>
      <c r="P54" s="737"/>
      <c r="Q54" s="2069"/>
    </row>
    <row r="55" spans="2:20" ht="12.95" customHeight="1" x14ac:dyDescent="0.2">
      <c r="B55" s="1075"/>
      <c r="C55" s="1060"/>
      <c r="D55" s="1076"/>
      <c r="E55" s="1076"/>
      <c r="F55" s="1076"/>
      <c r="G55" s="1076"/>
      <c r="H55" s="1076"/>
      <c r="I55" s="1076"/>
      <c r="J55" s="1076"/>
      <c r="K55" s="1076"/>
      <c r="L55" s="1076"/>
      <c r="M55" s="2289" t="s">
        <v>146</v>
      </c>
      <c r="N55" s="2289"/>
      <c r="O55" s="2512"/>
      <c r="P55" s="728">
        <f>P51+P36</f>
        <v>8000050</v>
      </c>
      <c r="Q55" s="301"/>
      <c r="S55" s="721"/>
    </row>
    <row r="56" spans="2:20" ht="12.95" customHeight="1" x14ac:dyDescent="0.2">
      <c r="B56" s="804"/>
      <c r="C56" s="805"/>
      <c r="D56" s="805"/>
      <c r="E56" s="805"/>
      <c r="F56" s="805"/>
      <c r="G56" s="805"/>
      <c r="H56" s="805"/>
      <c r="I56" s="805"/>
      <c r="J56" s="805"/>
      <c r="K56" s="805"/>
      <c r="L56" s="805"/>
      <c r="M56" s="806"/>
      <c r="N56" s="805"/>
      <c r="O56" s="805"/>
      <c r="P56" s="807"/>
      <c r="Q56" s="301"/>
      <c r="S56" s="721"/>
    </row>
    <row r="57" spans="2:20" ht="12.95" customHeight="1" x14ac:dyDescent="0.2">
      <c r="B57" s="803"/>
      <c r="C57" s="131"/>
      <c r="D57" s="131"/>
      <c r="E57" s="131"/>
      <c r="F57" s="131"/>
      <c r="G57" s="131"/>
      <c r="H57" s="131"/>
      <c r="I57" s="131"/>
      <c r="J57" s="131"/>
      <c r="K57" s="131"/>
      <c r="L57" s="131"/>
      <c r="M57" s="2167" t="str">
        <f>'RECAP APBD'!E43</f>
        <v>Banda Aceh,                   2020</v>
      </c>
      <c r="N57" s="2167"/>
      <c r="O57" s="2167"/>
      <c r="P57" s="2168"/>
      <c r="Q57" s="2019"/>
      <c r="R57" s="131"/>
      <c r="S57" s="201"/>
      <c r="T57" s="131"/>
    </row>
    <row r="58" spans="2:20" ht="12.95" customHeight="1" x14ac:dyDescent="0.2">
      <c r="B58" s="170"/>
      <c r="C58" s="131"/>
      <c r="D58" s="131"/>
      <c r="E58" s="131"/>
      <c r="F58" s="131"/>
      <c r="G58" s="131"/>
      <c r="H58" s="131"/>
      <c r="I58" s="131"/>
      <c r="J58" s="131"/>
      <c r="K58" s="131"/>
      <c r="L58" s="131"/>
      <c r="M58" s="2172" t="str">
        <f>'RECAP APBD'!E44</f>
        <v>Pengguna Anggaran</v>
      </c>
      <c r="N58" s="2172"/>
      <c r="O58" s="2172"/>
      <c r="P58" s="2173"/>
      <c r="Q58" s="2020"/>
      <c r="R58" s="144"/>
      <c r="S58" s="144"/>
      <c r="T58" s="144"/>
    </row>
    <row r="59" spans="2:20" ht="12.95" customHeight="1" x14ac:dyDescent="0.2">
      <c r="B59" s="170"/>
      <c r="C59" s="131"/>
      <c r="D59" s="131"/>
      <c r="E59" s="131"/>
      <c r="F59" s="131"/>
      <c r="G59" s="131"/>
      <c r="H59" s="131"/>
      <c r="I59" s="131"/>
      <c r="J59" s="131"/>
      <c r="K59" s="131"/>
      <c r="L59" s="131"/>
      <c r="M59" s="2172" t="str">
        <f>'RECAP APBD'!E45</f>
        <v>Satuan Kerja Perangkat Daerah</v>
      </c>
      <c r="N59" s="2172"/>
      <c r="O59" s="2172"/>
      <c r="P59" s="2173"/>
      <c r="Q59" s="2020"/>
      <c r="R59" s="144"/>
      <c r="S59" s="144"/>
      <c r="T59" s="144"/>
    </row>
    <row r="60" spans="2:20" ht="12.95" customHeight="1" x14ac:dyDescent="0.2">
      <c r="B60" s="170"/>
      <c r="C60" s="131"/>
      <c r="D60" s="131"/>
      <c r="E60" s="131"/>
      <c r="F60" s="131"/>
      <c r="G60" s="131"/>
      <c r="H60" s="131"/>
      <c r="I60" s="131"/>
      <c r="J60" s="131"/>
      <c r="K60" s="131"/>
      <c r="L60" s="131"/>
      <c r="M60" s="668"/>
      <c r="N60" s="144"/>
      <c r="O60" s="144"/>
      <c r="P60" s="189"/>
      <c r="Q60" s="144"/>
      <c r="R60" s="730"/>
      <c r="S60" s="730"/>
      <c r="T60" s="730"/>
    </row>
    <row r="61" spans="2:20" ht="12.95" customHeight="1" x14ac:dyDescent="0.2">
      <c r="B61" s="170"/>
      <c r="C61" s="131"/>
      <c r="D61" s="131"/>
      <c r="E61" s="131"/>
      <c r="F61" s="131"/>
      <c r="G61" s="131"/>
      <c r="H61" s="131"/>
      <c r="I61" s="131"/>
      <c r="J61" s="131"/>
      <c r="K61" s="131"/>
      <c r="L61" s="131"/>
      <c r="M61" s="668"/>
      <c r="N61" s="144"/>
      <c r="O61" s="144"/>
      <c r="P61" s="189"/>
      <c r="Q61" s="144"/>
      <c r="R61" s="730"/>
      <c r="S61" s="730"/>
      <c r="T61" s="730"/>
    </row>
    <row r="62" spans="2:20" ht="12.95" customHeight="1" x14ac:dyDescent="0.2">
      <c r="B62" s="170"/>
      <c r="C62" s="131"/>
      <c r="D62" s="131"/>
      <c r="E62" s="131"/>
      <c r="F62" s="131"/>
      <c r="G62" s="131"/>
      <c r="H62" s="131"/>
      <c r="I62" s="131"/>
      <c r="J62" s="131"/>
      <c r="K62" s="131"/>
      <c r="L62" s="131"/>
      <c r="M62" s="2199" t="str">
        <f>Atk!M83</f>
        <v>Bustami, SH</v>
      </c>
      <c r="N62" s="2199"/>
      <c r="O62" s="2199"/>
      <c r="P62" s="2200"/>
      <c r="Q62" s="2021"/>
      <c r="R62" s="730"/>
      <c r="S62" s="730"/>
      <c r="T62" s="730"/>
    </row>
    <row r="63" spans="2:20" ht="12.95" customHeight="1" x14ac:dyDescent="0.2">
      <c r="B63" s="731"/>
      <c r="C63" s="732"/>
      <c r="D63" s="732"/>
      <c r="E63" s="732"/>
      <c r="F63" s="732"/>
      <c r="G63" s="732"/>
      <c r="H63" s="732"/>
      <c r="I63" s="732"/>
      <c r="J63" s="732"/>
      <c r="K63" s="732"/>
      <c r="L63" s="732"/>
      <c r="M63" s="2573" t="str">
        <f>'RECAP APBD'!E49</f>
        <v>Pembina Utama Muda / Nip. 19630824 198703 1 004</v>
      </c>
      <c r="N63" s="2573"/>
      <c r="O63" s="2573"/>
      <c r="P63" s="2574"/>
      <c r="Q63" s="2033"/>
      <c r="R63" s="148"/>
      <c r="S63" s="148"/>
      <c r="T63" s="148"/>
    </row>
    <row r="64" spans="2:20" ht="12.95" customHeight="1" x14ac:dyDescent="0.2">
      <c r="B64" s="2501" t="s">
        <v>140</v>
      </c>
      <c r="C64" s="2502"/>
      <c r="D64" s="2502"/>
      <c r="E64" s="2502"/>
      <c r="F64" s="2502"/>
      <c r="G64" s="2502"/>
      <c r="H64" s="2502"/>
      <c r="I64" s="2502"/>
      <c r="J64" s="2502"/>
      <c r="K64" s="2502"/>
      <c r="L64" s="2502"/>
      <c r="M64" s="2513"/>
      <c r="N64" s="2513"/>
      <c r="O64" s="2513"/>
      <c r="P64" s="2514"/>
      <c r="Q64" s="571"/>
      <c r="R64" s="144"/>
      <c r="S64" s="144"/>
      <c r="T64" s="144"/>
    </row>
    <row r="65" spans="2:17" ht="12.95" customHeight="1" x14ac:dyDescent="0.2">
      <c r="B65" s="2501" t="s">
        <v>22</v>
      </c>
      <c r="C65" s="2502"/>
      <c r="D65" s="2502"/>
      <c r="E65" s="2502"/>
      <c r="F65" s="2502"/>
      <c r="G65" s="2502"/>
      <c r="H65" s="2502"/>
      <c r="I65" s="2502"/>
      <c r="J65" s="2502"/>
      <c r="K65" s="2502"/>
      <c r="L65" s="2502"/>
      <c r="M65" s="251"/>
      <c r="N65" s="2508"/>
      <c r="O65" s="2508"/>
      <c r="P65" s="2509"/>
      <c r="Q65" s="1490"/>
    </row>
    <row r="66" spans="2:17" ht="12.95" customHeight="1" x14ac:dyDescent="0.2">
      <c r="B66" s="2501" t="s">
        <v>21</v>
      </c>
      <c r="C66" s="2502"/>
      <c r="D66" s="2502"/>
      <c r="E66" s="2502"/>
      <c r="F66" s="2502"/>
      <c r="G66" s="2502"/>
      <c r="H66" s="2502"/>
      <c r="I66" s="2502"/>
      <c r="J66" s="2502"/>
      <c r="K66" s="2502"/>
      <c r="L66" s="2502"/>
      <c r="M66" s="251"/>
      <c r="N66" s="2503"/>
      <c r="O66" s="2503"/>
      <c r="P66" s="2504"/>
      <c r="Q66" s="2034"/>
    </row>
    <row r="67" spans="2:17" ht="12.95" customHeight="1" x14ac:dyDescent="0.2">
      <c r="B67" s="2501" t="s">
        <v>204</v>
      </c>
      <c r="C67" s="2502"/>
      <c r="D67" s="2502"/>
      <c r="E67" s="2502"/>
      <c r="F67" s="2502"/>
      <c r="G67" s="2502"/>
      <c r="H67" s="2502"/>
      <c r="I67" s="2502"/>
      <c r="J67" s="2502"/>
      <c r="K67" s="2502"/>
      <c r="L67" s="2502"/>
      <c r="M67" s="2502"/>
      <c r="N67" s="2502"/>
      <c r="O67" s="2502"/>
      <c r="P67" s="2505"/>
      <c r="Q67" s="572"/>
    </row>
    <row r="68" spans="2:17" ht="12.95" customHeight="1" x14ac:dyDescent="0.2">
      <c r="B68" s="2501" t="s">
        <v>205</v>
      </c>
      <c r="C68" s="2502"/>
      <c r="D68" s="2502"/>
      <c r="E68" s="2502"/>
      <c r="F68" s="2502"/>
      <c r="G68" s="2502"/>
      <c r="H68" s="2502"/>
      <c r="I68" s="2502"/>
      <c r="J68" s="2502"/>
      <c r="K68" s="2502"/>
      <c r="L68" s="2502"/>
      <c r="M68" s="2502"/>
      <c r="N68" s="2502"/>
      <c r="O68" s="2502"/>
      <c r="P68" s="2505"/>
      <c r="Q68" s="572"/>
    </row>
    <row r="69" spans="2:17" ht="12.95" customHeight="1" thickBot="1" x14ac:dyDescent="0.25">
      <c r="B69" s="2517" t="s">
        <v>206</v>
      </c>
      <c r="C69" s="2518"/>
      <c r="D69" s="2518"/>
      <c r="E69" s="2518"/>
      <c r="F69" s="2518"/>
      <c r="G69" s="2518"/>
      <c r="H69" s="2518"/>
      <c r="I69" s="2518"/>
      <c r="J69" s="2518"/>
      <c r="K69" s="2518"/>
      <c r="L69" s="2518"/>
      <c r="M69" s="2518"/>
      <c r="N69" s="2518"/>
      <c r="O69" s="2518"/>
      <c r="P69" s="2519"/>
      <c r="Q69" s="572"/>
    </row>
    <row r="70" spans="2:17" ht="12.95" customHeight="1" thickTop="1" x14ac:dyDescent="0.2">
      <c r="B70" s="2523" t="s">
        <v>25</v>
      </c>
      <c r="C70" s="2524"/>
      <c r="D70" s="2524"/>
      <c r="E70" s="2524"/>
      <c r="F70" s="2524"/>
      <c r="G70" s="2524"/>
      <c r="H70" s="2524"/>
      <c r="I70" s="2524"/>
      <c r="J70" s="2524"/>
      <c r="K70" s="2524"/>
      <c r="L70" s="2524"/>
      <c r="M70" s="2524"/>
      <c r="N70" s="2524"/>
      <c r="O70" s="2524"/>
      <c r="P70" s="2525"/>
      <c r="Q70" s="2023"/>
    </row>
    <row r="71" spans="2:17" ht="12.95" customHeight="1" thickBot="1" x14ac:dyDescent="0.25">
      <c r="B71" s="2526" t="s">
        <v>207</v>
      </c>
      <c r="C71" s="2527"/>
      <c r="D71" s="2528" t="s">
        <v>208</v>
      </c>
      <c r="E71" s="2529"/>
      <c r="F71" s="2529"/>
      <c r="G71" s="2529"/>
      <c r="H71" s="2529"/>
      <c r="I71" s="2529"/>
      <c r="J71" s="2529"/>
      <c r="K71" s="2529"/>
      <c r="L71" s="2530"/>
      <c r="M71" s="2531" t="s">
        <v>209</v>
      </c>
      <c r="N71" s="2530"/>
      <c r="O71" s="4" t="s">
        <v>210</v>
      </c>
      <c r="P71" s="92" t="s">
        <v>211</v>
      </c>
      <c r="Q71" s="2027"/>
    </row>
    <row r="72" spans="2:17" ht="12.95" customHeight="1" thickTop="1" x14ac:dyDescent="0.2">
      <c r="B72" s="2535">
        <v>1</v>
      </c>
      <c r="C72" s="2536"/>
      <c r="D72" s="2532"/>
      <c r="E72" s="2533"/>
      <c r="F72" s="2533"/>
      <c r="G72" s="2533"/>
      <c r="H72" s="2533"/>
      <c r="I72" s="2533"/>
      <c r="J72" s="2533"/>
      <c r="K72" s="2533"/>
      <c r="L72" s="2534"/>
      <c r="M72" s="2538"/>
      <c r="N72" s="2539"/>
      <c r="O72" s="1073"/>
      <c r="P72" s="1177" t="s">
        <v>10</v>
      </c>
      <c r="Q72" s="1257"/>
    </row>
    <row r="73" spans="2:17" ht="12.95" customHeight="1" x14ac:dyDescent="0.2">
      <c r="B73" s="2522">
        <v>2</v>
      </c>
      <c r="C73" s="2240"/>
      <c r="D73" s="1116"/>
      <c r="E73" s="1117"/>
      <c r="F73" s="1117"/>
      <c r="G73" s="1117"/>
      <c r="H73" s="1117"/>
      <c r="I73" s="1117"/>
      <c r="J73" s="1117"/>
      <c r="K73" s="1117"/>
      <c r="L73" s="1118"/>
      <c r="M73" s="2442"/>
      <c r="N73" s="2247"/>
      <c r="O73" s="1085"/>
      <c r="P73" s="1177" t="s">
        <v>11</v>
      </c>
      <c r="Q73" s="1257"/>
    </row>
    <row r="74" spans="2:17" ht="12.95" customHeight="1" x14ac:dyDescent="0.2">
      <c r="B74" s="2522">
        <v>3</v>
      </c>
      <c r="C74" s="2240"/>
      <c r="D74" s="1116"/>
      <c r="E74" s="1117"/>
      <c r="F74" s="1117"/>
      <c r="G74" s="1117"/>
      <c r="H74" s="1117"/>
      <c r="I74" s="1117"/>
      <c r="J74" s="1117"/>
      <c r="K74" s="1117"/>
      <c r="L74" s="1118"/>
      <c r="M74" s="2442"/>
      <c r="N74" s="2247"/>
      <c r="O74" s="1085"/>
      <c r="P74" s="1177" t="s">
        <v>12</v>
      </c>
      <c r="Q74" s="1257"/>
    </row>
    <row r="75" spans="2:17" ht="12.95" customHeight="1" x14ac:dyDescent="0.2">
      <c r="B75" s="2522">
        <v>4</v>
      </c>
      <c r="C75" s="2240"/>
      <c r="D75" s="1116"/>
      <c r="E75" s="1117"/>
      <c r="F75" s="1117"/>
      <c r="G75" s="1117"/>
      <c r="H75" s="1117"/>
      <c r="I75" s="1117"/>
      <c r="J75" s="1117"/>
      <c r="K75" s="1117"/>
      <c r="L75" s="1118"/>
      <c r="M75" s="2443"/>
      <c r="N75" s="2253"/>
      <c r="O75" s="1085"/>
      <c r="P75" s="1177" t="s">
        <v>13</v>
      </c>
      <c r="Q75" s="1257"/>
    </row>
    <row r="76" spans="2:17" ht="12.95" customHeight="1" x14ac:dyDescent="0.2">
      <c r="B76" s="2522">
        <v>5</v>
      </c>
      <c r="C76" s="2240"/>
      <c r="D76" s="1116"/>
      <c r="E76" s="1117"/>
      <c r="F76" s="1117"/>
      <c r="G76" s="1117"/>
      <c r="H76" s="1117"/>
      <c r="I76" s="1117"/>
      <c r="J76" s="1117"/>
      <c r="K76" s="1117"/>
      <c r="L76" s="1118"/>
      <c r="M76" s="2443"/>
      <c r="N76" s="2253"/>
      <c r="O76" s="1085"/>
      <c r="P76" s="1177" t="s">
        <v>14</v>
      </c>
      <c r="Q76" s="1257"/>
    </row>
    <row r="77" spans="2:17" ht="12.95" customHeight="1" x14ac:dyDescent="0.2">
      <c r="B77" s="2522">
        <v>6</v>
      </c>
      <c r="C77" s="2240"/>
      <c r="D77" s="1116"/>
      <c r="E77" s="1117"/>
      <c r="F77" s="1117"/>
      <c r="G77" s="1117"/>
      <c r="H77" s="1117"/>
      <c r="I77" s="1117"/>
      <c r="J77" s="1117"/>
      <c r="K77" s="1117"/>
      <c r="L77" s="1118"/>
      <c r="M77" s="2443"/>
      <c r="N77" s="2253"/>
      <c r="O77" s="1085"/>
      <c r="P77" s="1178" t="s">
        <v>42</v>
      </c>
      <c r="Q77" s="2052"/>
    </row>
    <row r="78" spans="2:17" ht="12.95" customHeight="1" thickBot="1" x14ac:dyDescent="0.25">
      <c r="B78" s="2520">
        <v>7</v>
      </c>
      <c r="C78" s="2521"/>
      <c r="D78" s="1119"/>
      <c r="E78" s="1120"/>
      <c r="F78" s="1120"/>
      <c r="G78" s="1120"/>
      <c r="H78" s="1120"/>
      <c r="I78" s="1120"/>
      <c r="J78" s="1120"/>
      <c r="K78" s="1120"/>
      <c r="L78" s="1121"/>
      <c r="M78" s="2537"/>
      <c r="N78" s="2300"/>
      <c r="O78" s="1061"/>
      <c r="P78" s="1179" t="s">
        <v>487</v>
      </c>
      <c r="Q78" s="2053"/>
    </row>
    <row r="79" spans="2:17" ht="15" customHeight="1" thickTop="1" x14ac:dyDescent="0.2">
      <c r="B79" s="122"/>
      <c r="C79" s="122"/>
      <c r="D79" s="123"/>
      <c r="E79" s="123"/>
      <c r="F79" s="123"/>
      <c r="G79" s="123"/>
      <c r="H79" s="123"/>
      <c r="I79" s="123"/>
      <c r="J79" s="123"/>
      <c r="K79" s="123"/>
      <c r="L79" s="123"/>
      <c r="M79" s="734"/>
      <c r="N79" s="734"/>
      <c r="O79" s="735"/>
      <c r="P79" s="736"/>
      <c r="Q79" s="2028"/>
    </row>
    <row r="80" spans="2:17" ht="15" customHeight="1" x14ac:dyDescent="0.2"/>
  </sheetData>
  <mergeCells count="85">
    <mergeCell ref="M75:N75"/>
    <mergeCell ref="M74:N74"/>
    <mergeCell ref="D72:L72"/>
    <mergeCell ref="B74:C74"/>
    <mergeCell ref="M73:N73"/>
    <mergeCell ref="B75:C75"/>
    <mergeCell ref="B72:C72"/>
    <mergeCell ref="B73:C73"/>
    <mergeCell ref="B78:C78"/>
    <mergeCell ref="M78:N78"/>
    <mergeCell ref="B76:C76"/>
    <mergeCell ref="M76:N76"/>
    <mergeCell ref="B77:C77"/>
    <mergeCell ref="M77:N77"/>
    <mergeCell ref="B23:P23"/>
    <mergeCell ref="B24:P24"/>
    <mergeCell ref="B71:C71"/>
    <mergeCell ref="M72:N72"/>
    <mergeCell ref="B25:K25"/>
    <mergeCell ref="L25:L28"/>
    <mergeCell ref="M25:O25"/>
    <mergeCell ref="B28:K28"/>
    <mergeCell ref="B26:K26"/>
    <mergeCell ref="N65:P65"/>
    <mergeCell ref="B70:P70"/>
    <mergeCell ref="D71:L71"/>
    <mergeCell ref="M71:N71"/>
    <mergeCell ref="B67:P67"/>
    <mergeCell ref="B68:P68"/>
    <mergeCell ref="B69:P69"/>
    <mergeCell ref="B10:K10"/>
    <mergeCell ref="B11:K11"/>
    <mergeCell ref="B9:K9"/>
    <mergeCell ref="B22:P22"/>
    <mergeCell ref="B18:K18"/>
    <mergeCell ref="M13:N13"/>
    <mergeCell ref="L18:N18"/>
    <mergeCell ref="O18:P18"/>
    <mergeCell ref="B19:K19"/>
    <mergeCell ref="B13:K13"/>
    <mergeCell ref="B14:K14"/>
    <mergeCell ref="B15:P15"/>
    <mergeCell ref="B17:K17"/>
    <mergeCell ref="L17:N17"/>
    <mergeCell ref="L20:N20"/>
    <mergeCell ref="B20:K20"/>
    <mergeCell ref="B27:K27"/>
    <mergeCell ref="B29:K29"/>
    <mergeCell ref="N26:N28"/>
    <mergeCell ref="O26:O28"/>
    <mergeCell ref="M26:M28"/>
    <mergeCell ref="B12:K12"/>
    <mergeCell ref="O19:P19"/>
    <mergeCell ref="O20:P20"/>
    <mergeCell ref="L16:N16"/>
    <mergeCell ref="O16:P16"/>
    <mergeCell ref="L19:N19"/>
    <mergeCell ref="O17:P17"/>
    <mergeCell ref="M9:P9"/>
    <mergeCell ref="B21:P21"/>
    <mergeCell ref="F2:O2"/>
    <mergeCell ref="B7:K7"/>
    <mergeCell ref="M7:P7"/>
    <mergeCell ref="B8:K8"/>
    <mergeCell ref="B6:K6"/>
    <mergeCell ref="P2:P3"/>
    <mergeCell ref="F3:O3"/>
    <mergeCell ref="B4:O4"/>
    <mergeCell ref="P4:P5"/>
    <mergeCell ref="B5:O5"/>
    <mergeCell ref="M6:P6"/>
    <mergeCell ref="M8:P8"/>
    <mergeCell ref="B16:K16"/>
    <mergeCell ref="L11:P11"/>
    <mergeCell ref="M55:O55"/>
    <mergeCell ref="B64:L64"/>
    <mergeCell ref="M64:P64"/>
    <mergeCell ref="B65:L65"/>
    <mergeCell ref="B66:L66"/>
    <mergeCell ref="N66:P66"/>
    <mergeCell ref="M59:P59"/>
    <mergeCell ref="M63:P63"/>
    <mergeCell ref="M62:P62"/>
    <mergeCell ref="M58:P58"/>
    <mergeCell ref="M57:P57"/>
  </mergeCells>
  <phoneticPr fontId="14" type="noConversion"/>
  <pageMargins left="0.43307086614173201" right="0.27559055118110198" top="0.48622047200000001" bottom="0" header="0.23622047244094499" footer="0.196850393700787"/>
  <pageSetup paperSize="5" scale="80" orientation="portrait" horizontalDpi="4294967294"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B1:U70"/>
  <sheetViews>
    <sheetView view="pageLayout" topLeftCell="N22" zoomScaleNormal="110" zoomScaleSheetLayoutView="70" workbookViewId="0">
      <selection activeCell="P37" sqref="P37"/>
    </sheetView>
  </sheetViews>
  <sheetFormatPr defaultColWidth="8.7109375" defaultRowHeight="12.75" x14ac:dyDescent="0.2"/>
  <cols>
    <col min="1" max="1" width="4.42578125" style="715" customWidth="1"/>
    <col min="2" max="11" width="2.7109375" style="715" customWidth="1"/>
    <col min="12" max="12" width="47.5703125" style="715" customWidth="1"/>
    <col min="13" max="13" width="11.5703125" style="715" customWidth="1"/>
    <col min="14" max="14" width="8.5703125" style="715" customWidth="1"/>
    <col min="15" max="15" width="13.5703125" style="715" customWidth="1"/>
    <col min="16" max="17" width="16.5703125" style="715" customWidth="1"/>
    <col min="18" max="18" width="13.28515625" style="715" customWidth="1"/>
    <col min="19"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241</v>
      </c>
      <c r="C6" s="2463"/>
      <c r="D6" s="2463"/>
      <c r="E6" s="2463"/>
      <c r="F6" s="2463"/>
      <c r="G6" s="2463"/>
      <c r="H6" s="2463"/>
      <c r="I6" s="2463"/>
      <c r="J6" s="2463"/>
      <c r="K6" s="2463"/>
      <c r="L6" s="713" t="s">
        <v>442</v>
      </c>
      <c r="M6" s="2213" t="s">
        <v>437</v>
      </c>
      <c r="N6" s="2213"/>
      <c r="O6" s="2213"/>
      <c r="P6" s="2214"/>
      <c r="Q6" s="296"/>
    </row>
    <row r="7" spans="2:17" ht="12.95" customHeight="1" x14ac:dyDescent="0.2">
      <c r="B7" s="2471" t="s">
        <v>250</v>
      </c>
      <c r="C7" s="2355"/>
      <c r="D7" s="2355"/>
      <c r="E7" s="2355"/>
      <c r="F7" s="2355"/>
      <c r="G7" s="2355"/>
      <c r="H7" s="2355"/>
      <c r="I7" s="2355"/>
      <c r="J7" s="2355"/>
      <c r="K7" s="2355"/>
      <c r="L7" s="700" t="s">
        <v>441</v>
      </c>
      <c r="M7" s="2541" t="s">
        <v>466</v>
      </c>
      <c r="N7" s="2541"/>
      <c r="O7" s="2541"/>
      <c r="P7" s="2542"/>
      <c r="Q7" s="512"/>
    </row>
    <row r="8" spans="2:17" ht="12.95" customHeight="1" x14ac:dyDescent="0.2">
      <c r="B8" s="2471" t="s">
        <v>252</v>
      </c>
      <c r="C8" s="2355"/>
      <c r="D8" s="2355"/>
      <c r="E8" s="2355"/>
      <c r="F8" s="2355"/>
      <c r="G8" s="2355"/>
      <c r="H8" s="2355"/>
      <c r="I8" s="2355"/>
      <c r="J8" s="2355"/>
      <c r="K8" s="2355"/>
      <c r="L8" s="700" t="s">
        <v>443</v>
      </c>
      <c r="M8" s="29" t="s">
        <v>124</v>
      </c>
      <c r="N8" s="30"/>
      <c r="O8" s="30"/>
      <c r="P8" s="75"/>
      <c r="Q8" s="2054"/>
    </row>
    <row r="9" spans="2:17" s="717" customFormat="1" ht="12.95" customHeight="1" x14ac:dyDescent="0.2">
      <c r="B9" s="2571" t="s">
        <v>251</v>
      </c>
      <c r="C9" s="2548"/>
      <c r="D9" s="2548"/>
      <c r="E9" s="2548"/>
      <c r="F9" s="2548"/>
      <c r="G9" s="2548"/>
      <c r="H9" s="2548"/>
      <c r="I9" s="2548"/>
      <c r="J9" s="2548"/>
      <c r="K9" s="2548"/>
      <c r="L9" s="34" t="s">
        <v>448</v>
      </c>
      <c r="M9" s="2579" t="s">
        <v>134</v>
      </c>
      <c r="N9" s="2580"/>
      <c r="O9" s="2580"/>
      <c r="P9" s="2581"/>
      <c r="Q9" s="2078"/>
    </row>
    <row r="10" spans="2:17" s="717" customFormat="1" ht="17.45" customHeight="1" x14ac:dyDescent="0.2">
      <c r="B10" s="711"/>
      <c r="C10" s="712"/>
      <c r="D10" s="712"/>
      <c r="E10" s="712"/>
      <c r="F10" s="712"/>
      <c r="G10" s="712"/>
      <c r="H10" s="712"/>
      <c r="I10" s="712"/>
      <c r="J10" s="712"/>
      <c r="K10" s="712"/>
      <c r="L10" s="700"/>
      <c r="M10" s="2582"/>
      <c r="N10" s="2582"/>
      <c r="O10" s="2582"/>
      <c r="P10" s="2583"/>
      <c r="Q10" s="2078"/>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5000000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2500000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2625000</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18" ht="25.5" customHeight="1" x14ac:dyDescent="0.2">
      <c r="B17" s="2584" t="s">
        <v>37</v>
      </c>
      <c r="C17" s="2585"/>
      <c r="D17" s="2585"/>
      <c r="E17" s="2585"/>
      <c r="F17" s="2585"/>
      <c r="G17" s="2585"/>
      <c r="H17" s="2585"/>
      <c r="I17" s="2585"/>
      <c r="J17" s="2585"/>
      <c r="K17" s="2586"/>
      <c r="L17" s="2457" t="s">
        <v>704</v>
      </c>
      <c r="M17" s="2457"/>
      <c r="N17" s="2458"/>
      <c r="O17" s="2587">
        <v>1</v>
      </c>
      <c r="P17" s="2588"/>
      <c r="Q17" s="2025"/>
    </row>
    <row r="18" spans="2:18" ht="12.95" customHeight="1" x14ac:dyDescent="0.2">
      <c r="B18" s="2454" t="s">
        <v>228</v>
      </c>
      <c r="C18" s="2286"/>
      <c r="D18" s="2286"/>
      <c r="E18" s="2286"/>
      <c r="F18" s="2286"/>
      <c r="G18" s="2286"/>
      <c r="H18" s="2286"/>
      <c r="I18" s="2286"/>
      <c r="J18" s="2286"/>
      <c r="K18" s="2455"/>
      <c r="L18" s="2228" t="s">
        <v>287</v>
      </c>
      <c r="M18" s="2228"/>
      <c r="N18" s="2577"/>
      <c r="O18" s="2459">
        <f>P31</f>
        <v>2500000</v>
      </c>
      <c r="P18" s="2460"/>
      <c r="Q18" s="2028"/>
    </row>
    <row r="19" spans="2:18" ht="26.1" customHeight="1" x14ac:dyDescent="0.2">
      <c r="B19" s="2454" t="s">
        <v>229</v>
      </c>
      <c r="C19" s="2286"/>
      <c r="D19" s="2286"/>
      <c r="E19" s="2286"/>
      <c r="F19" s="2286"/>
      <c r="G19" s="2286"/>
      <c r="H19" s="2286"/>
      <c r="I19" s="2286"/>
      <c r="J19" s="2286"/>
      <c r="K19" s="2455"/>
      <c r="L19" s="2228" t="s">
        <v>684</v>
      </c>
      <c r="M19" s="2228"/>
      <c r="N19" s="2577"/>
      <c r="O19" s="2589" t="s">
        <v>685</v>
      </c>
      <c r="P19" s="2590"/>
      <c r="Q19" s="2025"/>
    </row>
    <row r="20" spans="2:18" ht="12.95" customHeight="1" x14ac:dyDescent="0.2">
      <c r="B20" s="2454" t="s">
        <v>230</v>
      </c>
      <c r="C20" s="2286"/>
      <c r="D20" s="2286"/>
      <c r="E20" s="2286"/>
      <c r="F20" s="2286"/>
      <c r="G20" s="2286"/>
      <c r="H20" s="2286"/>
      <c r="I20" s="2286"/>
      <c r="J20" s="2286"/>
      <c r="K20" s="2455"/>
      <c r="L20" s="2228" t="s">
        <v>700</v>
      </c>
      <c r="M20" s="2228"/>
      <c r="N20" s="2577"/>
      <c r="O20" s="2474">
        <v>1</v>
      </c>
      <c r="P20" s="2229"/>
      <c r="Q20" s="2028"/>
    </row>
    <row r="21" spans="2:18" ht="6.95" customHeight="1" x14ac:dyDescent="0.2">
      <c r="B21" s="2445"/>
      <c r="C21" s="2446"/>
      <c r="D21" s="2446"/>
      <c r="E21" s="2446"/>
      <c r="F21" s="2446"/>
      <c r="G21" s="2446"/>
      <c r="H21" s="2446"/>
      <c r="I21" s="2446"/>
      <c r="J21" s="2446"/>
      <c r="K21" s="2446"/>
      <c r="L21" s="2446"/>
      <c r="M21" s="2446"/>
      <c r="N21" s="2446"/>
      <c r="O21" s="2446"/>
      <c r="P21" s="2447"/>
      <c r="Q21" s="2046"/>
    </row>
    <row r="22" spans="2:18" ht="12.95" customHeight="1" x14ac:dyDescent="0.2">
      <c r="B22" s="2215" t="s">
        <v>538</v>
      </c>
      <c r="C22" s="2216"/>
      <c r="D22" s="2216"/>
      <c r="E22" s="2216"/>
      <c r="F22" s="2216"/>
      <c r="G22" s="2216"/>
      <c r="H22" s="2216"/>
      <c r="I22" s="2216"/>
      <c r="J22" s="2216"/>
      <c r="K22" s="2216"/>
      <c r="L22" s="2216"/>
      <c r="M22" s="2216"/>
      <c r="N22" s="2216"/>
      <c r="O22" s="2216"/>
      <c r="P22" s="2486"/>
      <c r="Q22" s="2022"/>
    </row>
    <row r="23" spans="2:18" ht="12.95" customHeight="1" x14ac:dyDescent="0.2">
      <c r="B23" s="2487" t="s">
        <v>231</v>
      </c>
      <c r="C23" s="2488"/>
      <c r="D23" s="2488"/>
      <c r="E23" s="2488"/>
      <c r="F23" s="2488"/>
      <c r="G23" s="2488"/>
      <c r="H23" s="2488"/>
      <c r="I23" s="2488"/>
      <c r="J23" s="2488"/>
      <c r="K23" s="2488"/>
      <c r="L23" s="2488"/>
      <c r="M23" s="2488"/>
      <c r="N23" s="2488"/>
      <c r="O23" s="2488"/>
      <c r="P23" s="2489"/>
      <c r="Q23" s="520"/>
    </row>
    <row r="24" spans="2:18" ht="12.95" customHeight="1" x14ac:dyDescent="0.2">
      <c r="B24" s="2490" t="s">
        <v>38</v>
      </c>
      <c r="C24" s="2491"/>
      <c r="D24" s="2491"/>
      <c r="E24" s="2491"/>
      <c r="F24" s="2491"/>
      <c r="G24" s="2491"/>
      <c r="H24" s="2491"/>
      <c r="I24" s="2491"/>
      <c r="J24" s="2491"/>
      <c r="K24" s="2491"/>
      <c r="L24" s="2491"/>
      <c r="M24" s="2491"/>
      <c r="N24" s="2491"/>
      <c r="O24" s="2491"/>
      <c r="P24" s="2492"/>
      <c r="Q24" s="520"/>
    </row>
    <row r="25" spans="2:18"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18"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18"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18" ht="12.95" customHeight="1" x14ac:dyDescent="0.2">
      <c r="B28" s="2451"/>
      <c r="C28" s="2452"/>
      <c r="D28" s="2452"/>
      <c r="E28" s="2452"/>
      <c r="F28" s="2452"/>
      <c r="G28" s="2452"/>
      <c r="H28" s="2452"/>
      <c r="I28" s="2452"/>
      <c r="J28" s="2452"/>
      <c r="K28" s="2453"/>
      <c r="L28" s="2497"/>
      <c r="M28" s="2497"/>
      <c r="N28" s="2497"/>
      <c r="O28" s="2406"/>
      <c r="P28" s="719"/>
      <c r="Q28" s="2047"/>
    </row>
    <row r="29" spans="2:18" ht="12.95" customHeight="1" thickBot="1" x14ac:dyDescent="0.25">
      <c r="B29" s="2483">
        <v>1</v>
      </c>
      <c r="C29" s="2484"/>
      <c r="D29" s="2484"/>
      <c r="E29" s="2484"/>
      <c r="F29" s="2484"/>
      <c r="G29" s="2484"/>
      <c r="H29" s="2484"/>
      <c r="I29" s="2484"/>
      <c r="J29" s="2484"/>
      <c r="K29" s="2485"/>
      <c r="L29" s="710">
        <v>2</v>
      </c>
      <c r="M29" s="710">
        <v>3</v>
      </c>
      <c r="N29" s="710">
        <v>4</v>
      </c>
      <c r="O29" s="12">
        <v>5</v>
      </c>
      <c r="P29" s="79" t="s">
        <v>24</v>
      </c>
      <c r="Q29" s="2027"/>
    </row>
    <row r="30" spans="2:18" ht="12.95" customHeight="1" thickTop="1" x14ac:dyDescent="0.2">
      <c r="B30" s="355">
        <v>1</v>
      </c>
      <c r="C30" s="356" t="s">
        <v>440</v>
      </c>
      <c r="D30" s="356" t="s">
        <v>142</v>
      </c>
      <c r="E30" s="746"/>
      <c r="F30" s="743"/>
      <c r="G30" s="359">
        <v>5</v>
      </c>
      <c r="H30" s="359">
        <v>2</v>
      </c>
      <c r="I30" s="359"/>
      <c r="J30" s="359"/>
      <c r="K30" s="359"/>
      <c r="L30" s="28" t="s">
        <v>108</v>
      </c>
      <c r="M30" s="16"/>
      <c r="N30" s="16"/>
      <c r="O30" s="18"/>
      <c r="P30" s="88">
        <f>P32</f>
        <v>2500000</v>
      </c>
      <c r="Q30" s="2048">
        <v>5000000</v>
      </c>
      <c r="R30" s="720">
        <f>L12</f>
        <v>5000000</v>
      </c>
    </row>
    <row r="31" spans="2:18" ht="12.95" customHeight="1" x14ac:dyDescent="0.2">
      <c r="B31" s="355">
        <v>1</v>
      </c>
      <c r="C31" s="356" t="s">
        <v>440</v>
      </c>
      <c r="D31" s="356" t="s">
        <v>142</v>
      </c>
      <c r="E31" s="778" t="s">
        <v>142</v>
      </c>
      <c r="F31" s="358"/>
      <c r="G31" s="359"/>
      <c r="H31" s="359"/>
      <c r="I31" s="359"/>
      <c r="J31" s="359"/>
      <c r="K31" s="359"/>
      <c r="L31" s="25" t="s">
        <v>179</v>
      </c>
      <c r="M31" s="16"/>
      <c r="N31" s="16"/>
      <c r="O31" s="18"/>
      <c r="P31" s="89">
        <f>P32</f>
        <v>2500000</v>
      </c>
      <c r="Q31" s="2049"/>
      <c r="R31" s="721">
        <f>P31-R30</f>
        <v>-2500000</v>
      </c>
    </row>
    <row r="32" spans="2:18" ht="12.95" customHeight="1" x14ac:dyDescent="0.2">
      <c r="B32" s="355">
        <v>1</v>
      </c>
      <c r="C32" s="356" t="s">
        <v>440</v>
      </c>
      <c r="D32" s="356" t="s">
        <v>142</v>
      </c>
      <c r="E32" s="778" t="s">
        <v>142</v>
      </c>
      <c r="F32" s="745">
        <v>12</v>
      </c>
      <c r="G32" s="359"/>
      <c r="H32" s="359"/>
      <c r="I32" s="359"/>
      <c r="J32" s="359"/>
      <c r="K32" s="356"/>
      <c r="L32" s="25" t="s">
        <v>173</v>
      </c>
      <c r="M32" s="16"/>
      <c r="N32" s="16"/>
      <c r="O32" s="18"/>
      <c r="P32" s="89">
        <f>P35</f>
        <v>2500000</v>
      </c>
      <c r="Q32" s="2049"/>
    </row>
    <row r="33" spans="2:21" ht="12.95" customHeight="1" x14ac:dyDescent="0.2">
      <c r="B33" s="355"/>
      <c r="C33" s="356"/>
      <c r="D33" s="356"/>
      <c r="E33" s="778"/>
      <c r="F33" s="745"/>
      <c r="G33" s="359"/>
      <c r="H33" s="359"/>
      <c r="I33" s="359"/>
      <c r="J33" s="359"/>
      <c r="K33" s="356"/>
      <c r="L33" s="25" t="s">
        <v>174</v>
      </c>
      <c r="M33" s="16"/>
      <c r="N33" s="16"/>
      <c r="O33" s="18"/>
      <c r="P33" s="90"/>
      <c r="Q33" s="2079"/>
      <c r="R33" s="721"/>
    </row>
    <row r="34" spans="2:21" ht="12.95" customHeight="1" x14ac:dyDescent="0.2">
      <c r="B34" s="355"/>
      <c r="C34" s="356"/>
      <c r="D34" s="356"/>
      <c r="E34" s="778"/>
      <c r="F34" s="745"/>
      <c r="G34" s="359"/>
      <c r="H34" s="359"/>
      <c r="I34" s="359"/>
      <c r="J34" s="359"/>
      <c r="K34" s="356"/>
      <c r="L34" s="25"/>
      <c r="M34" s="16"/>
      <c r="N34" s="16"/>
      <c r="O34" s="18"/>
      <c r="P34" s="90"/>
      <c r="Q34" s="2079"/>
    </row>
    <row r="35" spans="2:21" ht="12.95" customHeight="1" x14ac:dyDescent="0.2">
      <c r="B35" s="355">
        <v>1</v>
      </c>
      <c r="C35" s="356" t="s">
        <v>440</v>
      </c>
      <c r="D35" s="356" t="s">
        <v>142</v>
      </c>
      <c r="E35" s="778" t="s">
        <v>142</v>
      </c>
      <c r="F35" s="745">
        <v>12</v>
      </c>
      <c r="G35" s="359">
        <v>5</v>
      </c>
      <c r="H35" s="359">
        <v>2</v>
      </c>
      <c r="I35" s="359">
        <v>2</v>
      </c>
      <c r="J35" s="359"/>
      <c r="K35" s="359"/>
      <c r="L35" s="56" t="s">
        <v>120</v>
      </c>
      <c r="M35" s="338"/>
      <c r="N35" s="185"/>
      <c r="O35" s="262"/>
      <c r="P35" s="769">
        <f>P36-P45</f>
        <v>2500000</v>
      </c>
      <c r="Q35" s="1474"/>
      <c r="S35" s="721">
        <f>R33/2</f>
        <v>0</v>
      </c>
    </row>
    <row r="36" spans="2:21" ht="12.95" customHeight="1" x14ac:dyDescent="0.2">
      <c r="B36" s="355">
        <v>1</v>
      </c>
      <c r="C36" s="356" t="s">
        <v>440</v>
      </c>
      <c r="D36" s="356" t="s">
        <v>142</v>
      </c>
      <c r="E36" s="778" t="s">
        <v>142</v>
      </c>
      <c r="F36" s="745">
        <v>12</v>
      </c>
      <c r="G36" s="359">
        <v>5</v>
      </c>
      <c r="H36" s="359">
        <v>2</v>
      </c>
      <c r="I36" s="359">
        <v>2</v>
      </c>
      <c r="J36" s="356" t="s">
        <v>142</v>
      </c>
      <c r="K36" s="359"/>
      <c r="L36" s="26" t="s">
        <v>180</v>
      </c>
      <c r="M36" s="338"/>
      <c r="N36" s="185"/>
      <c r="O36" s="262"/>
      <c r="P36" s="769">
        <f>P37</f>
        <v>2500000</v>
      </c>
      <c r="Q36" s="1474"/>
    </row>
    <row r="37" spans="2:21" ht="12.95" customHeight="1" x14ac:dyDescent="0.2">
      <c r="B37" s="355">
        <v>1</v>
      </c>
      <c r="C37" s="356" t="s">
        <v>440</v>
      </c>
      <c r="D37" s="356" t="s">
        <v>142</v>
      </c>
      <c r="E37" s="778" t="s">
        <v>142</v>
      </c>
      <c r="F37" s="745">
        <v>12</v>
      </c>
      <c r="G37" s="359">
        <v>5</v>
      </c>
      <c r="H37" s="359">
        <v>2</v>
      </c>
      <c r="I37" s="359">
        <v>2</v>
      </c>
      <c r="J37" s="356" t="s">
        <v>142</v>
      </c>
      <c r="K37" s="356" t="s">
        <v>164</v>
      </c>
      <c r="L37" s="23" t="s">
        <v>277</v>
      </c>
      <c r="M37" s="338"/>
      <c r="N37" s="185"/>
      <c r="O37" s="262"/>
      <c r="P37" s="769">
        <f>SUM(P38:P43)</f>
        <v>2500000</v>
      </c>
      <c r="Q37" s="1474"/>
      <c r="R37" s="721"/>
    </row>
    <row r="38" spans="2:21" ht="12.95" customHeight="1" x14ac:dyDescent="0.2">
      <c r="B38" s="355"/>
      <c r="C38" s="359"/>
      <c r="D38" s="359"/>
      <c r="E38" s="746"/>
      <c r="F38" s="358"/>
      <c r="G38" s="359"/>
      <c r="H38" s="359"/>
      <c r="I38" s="359"/>
      <c r="J38" s="359"/>
      <c r="K38" s="359"/>
      <c r="L38" s="37" t="s">
        <v>892</v>
      </c>
      <c r="M38" s="1122">
        <v>15</v>
      </c>
      <c r="N38" s="185" t="s">
        <v>128</v>
      </c>
      <c r="O38" s="270">
        <v>45100</v>
      </c>
      <c r="P38" s="769">
        <f t="shared" ref="P38:P43" si="0">O38*M38</f>
        <v>676500</v>
      </c>
      <c r="Q38" s="1474"/>
      <c r="R38" s="721"/>
    </row>
    <row r="39" spans="2:21" ht="12.95" customHeight="1" x14ac:dyDescent="0.2">
      <c r="B39" s="355"/>
      <c r="C39" s="359"/>
      <c r="D39" s="359"/>
      <c r="E39" s="746"/>
      <c r="F39" s="358"/>
      <c r="G39" s="359"/>
      <c r="H39" s="359"/>
      <c r="I39" s="359"/>
      <c r="J39" s="359"/>
      <c r="K39" s="359"/>
      <c r="L39" s="37" t="s">
        <v>767</v>
      </c>
      <c r="M39" s="1122">
        <v>10</v>
      </c>
      <c r="N39" s="185" t="s">
        <v>128</v>
      </c>
      <c r="O39" s="270">
        <v>20950</v>
      </c>
      <c r="P39" s="769">
        <f t="shared" si="0"/>
        <v>209500</v>
      </c>
      <c r="Q39" s="1474"/>
      <c r="R39" s="721"/>
    </row>
    <row r="40" spans="2:21" ht="12.95" customHeight="1" x14ac:dyDescent="0.2">
      <c r="B40" s="355"/>
      <c r="C40" s="359"/>
      <c r="D40" s="359"/>
      <c r="E40" s="746"/>
      <c r="F40" s="358"/>
      <c r="G40" s="359"/>
      <c r="H40" s="359"/>
      <c r="I40" s="359"/>
      <c r="J40" s="359"/>
      <c r="K40" s="359"/>
      <c r="L40" s="37" t="s">
        <v>738</v>
      </c>
      <c r="M40" s="776">
        <v>15</v>
      </c>
      <c r="N40" s="185" t="s">
        <v>128</v>
      </c>
      <c r="O40" s="270">
        <v>3100</v>
      </c>
      <c r="P40" s="769">
        <f t="shared" si="0"/>
        <v>46500</v>
      </c>
      <c r="Q40" s="1474"/>
    </row>
    <row r="41" spans="2:21" ht="12.95" customHeight="1" x14ac:dyDescent="0.2">
      <c r="B41" s="355"/>
      <c r="C41" s="359"/>
      <c r="D41" s="359"/>
      <c r="E41" s="746"/>
      <c r="F41" s="358"/>
      <c r="G41" s="359"/>
      <c r="H41" s="359"/>
      <c r="I41" s="359"/>
      <c r="J41" s="359"/>
      <c r="K41" s="359"/>
      <c r="L41" s="37" t="s">
        <v>732</v>
      </c>
      <c r="M41" s="776">
        <v>15</v>
      </c>
      <c r="N41" s="185" t="s">
        <v>128</v>
      </c>
      <c r="O41" s="270">
        <v>3800</v>
      </c>
      <c r="P41" s="769">
        <f t="shared" si="0"/>
        <v>57000</v>
      </c>
      <c r="Q41" s="1474"/>
    </row>
    <row r="42" spans="2:21" ht="12.95" customHeight="1" x14ac:dyDescent="0.2">
      <c r="B42" s="793"/>
      <c r="C42" s="794"/>
      <c r="D42" s="794"/>
      <c r="E42" s="795"/>
      <c r="F42" s="796"/>
      <c r="G42" s="794"/>
      <c r="H42" s="794"/>
      <c r="I42" s="794"/>
      <c r="J42" s="794"/>
      <c r="K42" s="794"/>
      <c r="L42" s="37" t="s">
        <v>731</v>
      </c>
      <c r="M42" s="776">
        <v>15</v>
      </c>
      <c r="N42" s="185" t="s">
        <v>128</v>
      </c>
      <c r="O42" s="270">
        <v>5700</v>
      </c>
      <c r="P42" s="769">
        <f t="shared" si="0"/>
        <v>85500</v>
      </c>
      <c r="Q42" s="1474"/>
    </row>
    <row r="43" spans="2:21" ht="12.95" customHeight="1" x14ac:dyDescent="0.2">
      <c r="B43" s="797"/>
      <c r="C43" s="798"/>
      <c r="D43" s="798"/>
      <c r="E43" s="799"/>
      <c r="F43" s="800"/>
      <c r="G43" s="798"/>
      <c r="H43" s="798"/>
      <c r="I43" s="798"/>
      <c r="J43" s="798"/>
      <c r="K43" s="798"/>
      <c r="L43" s="38" t="s">
        <v>768</v>
      </c>
      <c r="M43" s="776">
        <v>150</v>
      </c>
      <c r="N43" s="185" t="s">
        <v>423</v>
      </c>
      <c r="O43" s="270">
        <v>9500</v>
      </c>
      <c r="P43" s="769">
        <f t="shared" si="0"/>
        <v>1425000</v>
      </c>
      <c r="Q43" s="1474"/>
    </row>
    <row r="44" spans="2:21" ht="12.95" customHeight="1" x14ac:dyDescent="0.2">
      <c r="B44" s="797"/>
      <c r="C44" s="798"/>
      <c r="D44" s="798"/>
      <c r="E44" s="799"/>
      <c r="F44" s="800"/>
      <c r="G44" s="798"/>
      <c r="H44" s="798"/>
      <c r="I44" s="798"/>
      <c r="J44" s="798"/>
      <c r="K44" s="798"/>
      <c r="L44" s="38"/>
      <c r="M44" s="776"/>
      <c r="N44" s="185"/>
      <c r="O44" s="270"/>
      <c r="P44" s="1202"/>
      <c r="Q44" s="1474"/>
    </row>
    <row r="45" spans="2:21" ht="12.95" customHeight="1" x14ac:dyDescent="0.2">
      <c r="B45" s="797"/>
      <c r="C45" s="798"/>
      <c r="D45" s="798"/>
      <c r="E45" s="799"/>
      <c r="F45" s="801"/>
      <c r="G45" s="798"/>
      <c r="H45" s="798"/>
      <c r="I45" s="798"/>
      <c r="J45" s="798"/>
      <c r="K45" s="798"/>
      <c r="L45" s="38"/>
      <c r="M45" s="1123"/>
      <c r="N45" s="185"/>
      <c r="O45" s="270"/>
      <c r="P45" s="2115"/>
      <c r="Q45" s="2080"/>
    </row>
    <row r="46" spans="2:21" ht="12.95" customHeight="1" x14ac:dyDescent="0.2">
      <c r="B46" s="1075"/>
      <c r="C46" s="1060"/>
      <c r="D46" s="1076"/>
      <c r="E46" s="1076"/>
      <c r="F46" s="1076"/>
      <c r="G46" s="1076"/>
      <c r="H46" s="1076"/>
      <c r="I46" s="1076"/>
      <c r="J46" s="1076"/>
      <c r="K46" s="1076"/>
      <c r="L46" s="1076"/>
      <c r="M46" s="2289" t="s">
        <v>146</v>
      </c>
      <c r="N46" s="2289"/>
      <c r="O46" s="2512"/>
      <c r="P46" s="728">
        <f>P30</f>
        <v>2500000</v>
      </c>
      <c r="Q46" s="301"/>
      <c r="U46" s="725"/>
    </row>
    <row r="47" spans="2:21" ht="12.95" customHeight="1" x14ac:dyDescent="0.2">
      <c r="B47" s="808"/>
      <c r="C47" s="805"/>
      <c r="D47" s="805"/>
      <c r="E47" s="805"/>
      <c r="F47" s="805"/>
      <c r="G47" s="805"/>
      <c r="H47" s="805"/>
      <c r="I47" s="805"/>
      <c r="J47" s="805"/>
      <c r="K47" s="805"/>
      <c r="L47" s="805"/>
      <c r="M47" s="805"/>
      <c r="N47" s="805"/>
      <c r="O47" s="805"/>
      <c r="P47" s="807"/>
      <c r="Q47" s="301"/>
      <c r="U47" s="725"/>
    </row>
    <row r="48" spans="2:21" ht="12.95" customHeight="1" x14ac:dyDescent="0.2">
      <c r="B48" s="170"/>
      <c r="C48" s="131"/>
      <c r="D48" s="131"/>
      <c r="E48" s="131"/>
      <c r="F48" s="131"/>
      <c r="G48" s="131"/>
      <c r="H48" s="131"/>
      <c r="I48" s="131"/>
      <c r="J48" s="131"/>
      <c r="K48" s="131"/>
      <c r="L48" s="131"/>
      <c r="M48" s="2167" t="str">
        <f>'RECAP APBD'!E43</f>
        <v>Banda Aceh,                   2020</v>
      </c>
      <c r="N48" s="2167"/>
      <c r="O48" s="2167"/>
      <c r="P48" s="2168"/>
      <c r="Q48" s="2019"/>
      <c r="R48" s="131"/>
      <c r="S48" s="131"/>
      <c r="T48" s="131"/>
    </row>
    <row r="49" spans="2:20" ht="12.95" customHeight="1" x14ac:dyDescent="0.2">
      <c r="B49" s="170"/>
      <c r="C49" s="131"/>
      <c r="D49" s="131"/>
      <c r="E49" s="131"/>
      <c r="F49" s="131"/>
      <c r="G49" s="131"/>
      <c r="H49" s="131"/>
      <c r="I49" s="131"/>
      <c r="J49" s="131"/>
      <c r="K49" s="131"/>
      <c r="L49" s="131"/>
      <c r="M49" s="2172" t="str">
        <f>'RECAP APBD'!E44</f>
        <v>Pengguna Anggaran</v>
      </c>
      <c r="N49" s="2172"/>
      <c r="O49" s="2172"/>
      <c r="P49" s="2173"/>
      <c r="Q49" s="2020"/>
      <c r="R49" s="144"/>
      <c r="S49" s="144"/>
      <c r="T49" s="144"/>
    </row>
    <row r="50" spans="2:20" ht="12.95" customHeight="1" x14ac:dyDescent="0.2">
      <c r="B50" s="170"/>
      <c r="C50" s="131"/>
      <c r="D50" s="131"/>
      <c r="E50" s="131"/>
      <c r="F50" s="131"/>
      <c r="G50" s="131"/>
      <c r="H50" s="131"/>
      <c r="I50" s="131"/>
      <c r="J50" s="131"/>
      <c r="K50" s="131"/>
      <c r="L50" s="131"/>
      <c r="M50" s="2172" t="str">
        <f>'RECAP APBD'!E45</f>
        <v>Satuan Kerja Perangkat Daerah</v>
      </c>
      <c r="N50" s="2172"/>
      <c r="O50" s="2172"/>
      <c r="P50" s="2173"/>
      <c r="Q50" s="2020"/>
      <c r="R50" s="144"/>
      <c r="S50" s="144"/>
      <c r="T50" s="144"/>
    </row>
    <row r="51" spans="2:20" ht="12.95" customHeight="1" x14ac:dyDescent="0.2">
      <c r="B51" s="170"/>
      <c r="C51" s="131"/>
      <c r="D51" s="131"/>
      <c r="E51" s="131"/>
      <c r="F51" s="131"/>
      <c r="G51" s="131"/>
      <c r="H51" s="131"/>
      <c r="I51" s="131"/>
      <c r="J51" s="131"/>
      <c r="K51" s="131"/>
      <c r="L51" s="131"/>
      <c r="M51" s="701"/>
      <c r="N51" s="144"/>
      <c r="O51" s="144"/>
      <c r="P51" s="189"/>
      <c r="Q51" s="144"/>
      <c r="R51" s="730"/>
      <c r="S51" s="730"/>
      <c r="T51" s="730"/>
    </row>
    <row r="52" spans="2:20" ht="12.95" customHeight="1" x14ac:dyDescent="0.2">
      <c r="B52" s="170"/>
      <c r="C52" s="131"/>
      <c r="D52" s="131"/>
      <c r="E52" s="131"/>
      <c r="F52" s="131"/>
      <c r="G52" s="131"/>
      <c r="H52" s="131"/>
      <c r="I52" s="131"/>
      <c r="J52" s="131"/>
      <c r="K52" s="131"/>
      <c r="L52" s="131"/>
      <c r="M52" s="701"/>
      <c r="N52" s="144"/>
      <c r="O52" s="144"/>
      <c r="P52" s="189"/>
      <c r="Q52" s="144"/>
      <c r="R52" s="730"/>
      <c r="S52" s="730"/>
      <c r="T52" s="730"/>
    </row>
    <row r="53" spans="2:20" ht="12.95" customHeight="1" x14ac:dyDescent="0.2">
      <c r="B53" s="170"/>
      <c r="C53" s="131"/>
      <c r="D53" s="131"/>
      <c r="E53" s="131"/>
      <c r="F53" s="131"/>
      <c r="G53" s="131"/>
      <c r="H53" s="131"/>
      <c r="I53" s="131"/>
      <c r="J53" s="131"/>
      <c r="K53" s="131"/>
      <c r="L53" s="730"/>
      <c r="M53" s="2172" t="str">
        <f>'RECAP APBD'!E48</f>
        <v>Bustami, SH</v>
      </c>
      <c r="N53" s="2172"/>
      <c r="O53" s="2172"/>
      <c r="P53" s="2173"/>
      <c r="Q53" s="2020"/>
      <c r="R53" s="730"/>
      <c r="S53" s="730"/>
      <c r="T53" s="730"/>
    </row>
    <row r="54" spans="2:20" ht="12.95" customHeight="1" x14ac:dyDescent="0.2">
      <c r="B54" s="731"/>
      <c r="C54" s="732"/>
      <c r="D54" s="732"/>
      <c r="E54" s="732"/>
      <c r="F54" s="732"/>
      <c r="G54" s="732"/>
      <c r="H54" s="732"/>
      <c r="I54" s="732"/>
      <c r="J54" s="732"/>
      <c r="K54" s="732"/>
      <c r="L54" s="732"/>
      <c r="M54" s="2573" t="str">
        <f>'RECAP APBD'!E49</f>
        <v>Pembina Utama Muda / Nip. 19630824 198703 1 004</v>
      </c>
      <c r="N54" s="2573"/>
      <c r="O54" s="2573"/>
      <c r="P54" s="2574"/>
      <c r="Q54" s="2033"/>
      <c r="R54" s="148"/>
      <c r="S54" s="148"/>
      <c r="T54" s="148"/>
    </row>
    <row r="55" spans="2:20" ht="12.95" customHeight="1" x14ac:dyDescent="0.2">
      <c r="B55" s="2501" t="s">
        <v>140</v>
      </c>
      <c r="C55" s="2502"/>
      <c r="D55" s="2502"/>
      <c r="E55" s="2502"/>
      <c r="F55" s="2502"/>
      <c r="G55" s="2502"/>
      <c r="H55" s="2502"/>
      <c r="I55" s="2502"/>
      <c r="J55" s="2502"/>
      <c r="K55" s="2502"/>
      <c r="L55" s="2502"/>
      <c r="M55" s="2513"/>
      <c r="N55" s="2513"/>
      <c r="O55" s="2513"/>
      <c r="P55" s="2514"/>
      <c r="Q55" s="571"/>
      <c r="R55" s="144"/>
      <c r="S55" s="144"/>
      <c r="T55" s="144"/>
    </row>
    <row r="56" spans="2:20" ht="12.95" customHeight="1" x14ac:dyDescent="0.2">
      <c r="B56" s="2501" t="s">
        <v>22</v>
      </c>
      <c r="C56" s="2502"/>
      <c r="D56" s="2502"/>
      <c r="E56" s="2502"/>
      <c r="F56" s="2502"/>
      <c r="G56" s="2502"/>
      <c r="H56" s="2502"/>
      <c r="I56" s="2502"/>
      <c r="J56" s="2502"/>
      <c r="K56" s="2502"/>
      <c r="L56" s="2502"/>
      <c r="M56" s="251"/>
      <c r="N56" s="2508"/>
      <c r="O56" s="2508"/>
      <c r="P56" s="2509"/>
      <c r="Q56" s="1490"/>
    </row>
    <row r="57" spans="2:20" ht="12.95" customHeight="1" x14ac:dyDescent="0.2">
      <c r="B57" s="2501" t="s">
        <v>21</v>
      </c>
      <c r="C57" s="2502"/>
      <c r="D57" s="2502"/>
      <c r="E57" s="2502"/>
      <c r="F57" s="2502"/>
      <c r="G57" s="2502"/>
      <c r="H57" s="2502"/>
      <c r="I57" s="2502"/>
      <c r="J57" s="2502"/>
      <c r="K57" s="2502"/>
      <c r="L57" s="2502"/>
      <c r="M57" s="251"/>
      <c r="N57" s="2503"/>
      <c r="O57" s="2503"/>
      <c r="P57" s="2504"/>
      <c r="Q57" s="2034"/>
    </row>
    <row r="58" spans="2:20" ht="12.95" customHeight="1" x14ac:dyDescent="0.2">
      <c r="B58" s="2501" t="s">
        <v>204</v>
      </c>
      <c r="C58" s="2502"/>
      <c r="D58" s="2502"/>
      <c r="E58" s="2502"/>
      <c r="F58" s="2502"/>
      <c r="G58" s="2502"/>
      <c r="H58" s="2502"/>
      <c r="I58" s="2502"/>
      <c r="J58" s="2502"/>
      <c r="K58" s="2502"/>
      <c r="L58" s="2502"/>
      <c r="M58" s="2502"/>
      <c r="N58" s="2502"/>
      <c r="O58" s="2502"/>
      <c r="P58" s="2505"/>
      <c r="Q58" s="572"/>
    </row>
    <row r="59" spans="2:20" ht="12.95" customHeight="1" x14ac:dyDescent="0.2">
      <c r="B59" s="2501" t="s">
        <v>205</v>
      </c>
      <c r="C59" s="2502"/>
      <c r="D59" s="2502"/>
      <c r="E59" s="2502"/>
      <c r="F59" s="2502"/>
      <c r="G59" s="2502"/>
      <c r="H59" s="2502"/>
      <c r="I59" s="2502"/>
      <c r="J59" s="2502"/>
      <c r="K59" s="2502"/>
      <c r="L59" s="2502"/>
      <c r="M59" s="2502"/>
      <c r="N59" s="2502"/>
      <c r="O59" s="2502"/>
      <c r="P59" s="2505"/>
      <c r="Q59" s="572"/>
    </row>
    <row r="60" spans="2:20" ht="12.95" customHeight="1" thickBot="1" x14ac:dyDescent="0.25">
      <c r="B60" s="2517" t="s">
        <v>206</v>
      </c>
      <c r="C60" s="2518"/>
      <c r="D60" s="2518"/>
      <c r="E60" s="2518"/>
      <c r="F60" s="2518"/>
      <c r="G60" s="2518"/>
      <c r="H60" s="2518"/>
      <c r="I60" s="2518"/>
      <c r="J60" s="2518"/>
      <c r="K60" s="2518"/>
      <c r="L60" s="2518"/>
      <c r="M60" s="2518"/>
      <c r="N60" s="2518"/>
      <c r="O60" s="2518"/>
      <c r="P60" s="2519"/>
      <c r="Q60" s="572"/>
    </row>
    <row r="61" spans="2:20" ht="12.95" customHeight="1" thickTop="1" x14ac:dyDescent="0.2">
      <c r="B61" s="2523" t="s">
        <v>25</v>
      </c>
      <c r="C61" s="2524"/>
      <c r="D61" s="2524"/>
      <c r="E61" s="2524"/>
      <c r="F61" s="2524"/>
      <c r="G61" s="2524"/>
      <c r="H61" s="2524"/>
      <c r="I61" s="2524"/>
      <c r="J61" s="2524"/>
      <c r="K61" s="2524"/>
      <c r="L61" s="2524"/>
      <c r="M61" s="2524"/>
      <c r="N61" s="2524"/>
      <c r="O61" s="2524"/>
      <c r="P61" s="2525"/>
      <c r="Q61" s="2023"/>
    </row>
    <row r="62" spans="2:20" ht="12.95" customHeight="1" thickBot="1" x14ac:dyDescent="0.25">
      <c r="B62" s="2526" t="s">
        <v>207</v>
      </c>
      <c r="C62" s="2527"/>
      <c r="D62" s="2528" t="s">
        <v>208</v>
      </c>
      <c r="E62" s="2529"/>
      <c r="F62" s="2529"/>
      <c r="G62" s="2529"/>
      <c r="H62" s="2529"/>
      <c r="I62" s="2529"/>
      <c r="J62" s="2529"/>
      <c r="K62" s="2529"/>
      <c r="L62" s="2530"/>
      <c r="M62" s="2531" t="s">
        <v>209</v>
      </c>
      <c r="N62" s="2530"/>
      <c r="O62" s="4" t="s">
        <v>210</v>
      </c>
      <c r="P62" s="92" t="s">
        <v>211</v>
      </c>
      <c r="Q62" s="2027"/>
    </row>
    <row r="63" spans="2:20" ht="12.95" customHeight="1" thickTop="1" x14ac:dyDescent="0.2">
      <c r="B63" s="2535">
        <v>1</v>
      </c>
      <c r="C63" s="2536"/>
      <c r="D63" s="2532"/>
      <c r="E63" s="2533"/>
      <c r="F63" s="2533"/>
      <c r="G63" s="2533"/>
      <c r="H63" s="2533"/>
      <c r="I63" s="2533"/>
      <c r="J63" s="2533"/>
      <c r="K63" s="2533"/>
      <c r="L63" s="2534"/>
      <c r="M63" s="2538"/>
      <c r="N63" s="2539"/>
      <c r="O63" s="1073"/>
      <c r="P63" s="1177" t="s">
        <v>10</v>
      </c>
      <c r="Q63" s="1257"/>
    </row>
    <row r="64" spans="2:20" ht="12.95" customHeight="1" x14ac:dyDescent="0.2">
      <c r="B64" s="2522">
        <v>2</v>
      </c>
      <c r="C64" s="2240"/>
      <c r="D64" s="1116"/>
      <c r="E64" s="1117"/>
      <c r="F64" s="1117"/>
      <c r="G64" s="1117"/>
      <c r="H64" s="1117"/>
      <c r="I64" s="1117"/>
      <c r="J64" s="1117"/>
      <c r="K64" s="1117"/>
      <c r="L64" s="1118"/>
      <c r="M64" s="2442"/>
      <c r="N64" s="2247"/>
      <c r="O64" s="1085"/>
      <c r="P64" s="1177" t="s">
        <v>11</v>
      </c>
      <c r="Q64" s="1257"/>
    </row>
    <row r="65" spans="2:17" ht="12.95" customHeight="1" x14ac:dyDescent="0.2">
      <c r="B65" s="2522">
        <v>3</v>
      </c>
      <c r="C65" s="2240"/>
      <c r="D65" s="1116"/>
      <c r="E65" s="1117"/>
      <c r="F65" s="1117"/>
      <c r="G65" s="1117"/>
      <c r="H65" s="1117"/>
      <c r="I65" s="1117"/>
      <c r="J65" s="1117"/>
      <c r="K65" s="1117"/>
      <c r="L65" s="1118"/>
      <c r="M65" s="2442"/>
      <c r="N65" s="2247"/>
      <c r="O65" s="1085"/>
      <c r="P65" s="1177" t="s">
        <v>12</v>
      </c>
      <c r="Q65" s="1257"/>
    </row>
    <row r="66" spans="2:17" ht="12.95" customHeight="1" x14ac:dyDescent="0.2">
      <c r="B66" s="2522">
        <v>4</v>
      </c>
      <c r="C66" s="2240"/>
      <c r="D66" s="1116"/>
      <c r="E66" s="1117"/>
      <c r="F66" s="1117"/>
      <c r="G66" s="1117"/>
      <c r="H66" s="1117"/>
      <c r="I66" s="1117"/>
      <c r="J66" s="1117"/>
      <c r="K66" s="1117"/>
      <c r="L66" s="1118"/>
      <c r="M66" s="2443"/>
      <c r="N66" s="2253"/>
      <c r="O66" s="1085"/>
      <c r="P66" s="1177" t="s">
        <v>13</v>
      </c>
      <c r="Q66" s="1257"/>
    </row>
    <row r="67" spans="2:17" ht="12.95" customHeight="1" x14ac:dyDescent="0.2">
      <c r="B67" s="2522">
        <v>5</v>
      </c>
      <c r="C67" s="2240"/>
      <c r="D67" s="1116"/>
      <c r="E67" s="1117"/>
      <c r="F67" s="1117"/>
      <c r="G67" s="1117"/>
      <c r="H67" s="1117"/>
      <c r="I67" s="1117"/>
      <c r="J67" s="1117"/>
      <c r="K67" s="1117"/>
      <c r="L67" s="1118"/>
      <c r="M67" s="2443"/>
      <c r="N67" s="2253"/>
      <c r="O67" s="1085"/>
      <c r="P67" s="1177" t="s">
        <v>14</v>
      </c>
      <c r="Q67" s="1257"/>
    </row>
    <row r="68" spans="2:17" ht="12.95" customHeight="1" x14ac:dyDescent="0.2">
      <c r="B68" s="2522">
        <v>6</v>
      </c>
      <c r="C68" s="2240"/>
      <c r="D68" s="1116"/>
      <c r="E68" s="1117"/>
      <c r="F68" s="1117"/>
      <c r="G68" s="1117"/>
      <c r="H68" s="1117"/>
      <c r="I68" s="1117"/>
      <c r="J68" s="1117"/>
      <c r="K68" s="1117"/>
      <c r="L68" s="1118"/>
      <c r="M68" s="2443"/>
      <c r="N68" s="2253"/>
      <c r="O68" s="1085"/>
      <c r="P68" s="1178" t="s">
        <v>42</v>
      </c>
      <c r="Q68" s="2052"/>
    </row>
    <row r="69" spans="2:17" ht="12.95" customHeight="1" thickBot="1" x14ac:dyDescent="0.25">
      <c r="B69" s="2520">
        <v>7</v>
      </c>
      <c r="C69" s="2521"/>
      <c r="D69" s="1119"/>
      <c r="E69" s="1120"/>
      <c r="F69" s="1120"/>
      <c r="G69" s="1120"/>
      <c r="H69" s="1120"/>
      <c r="I69" s="1120"/>
      <c r="J69" s="1120"/>
      <c r="K69" s="1120"/>
      <c r="L69" s="1121"/>
      <c r="M69" s="2537"/>
      <c r="N69" s="2300"/>
      <c r="O69" s="1061"/>
      <c r="P69" s="1179" t="s">
        <v>487</v>
      </c>
      <c r="Q69" s="2053"/>
    </row>
    <row r="70" spans="2:17" ht="15" customHeight="1" thickTop="1" x14ac:dyDescent="0.2"/>
  </sheetData>
  <mergeCells count="82">
    <mergeCell ref="B66:C66"/>
    <mergeCell ref="M66:N66"/>
    <mergeCell ref="B60:P60"/>
    <mergeCell ref="B61:P61"/>
    <mergeCell ref="B62:C62"/>
    <mergeCell ref="D62:L62"/>
    <mergeCell ref="M62:N62"/>
    <mergeCell ref="B65:C65"/>
    <mergeCell ref="M65:N65"/>
    <mergeCell ref="B63:C63"/>
    <mergeCell ref="D63:L63"/>
    <mergeCell ref="M63:N63"/>
    <mergeCell ref="B64:C64"/>
    <mergeCell ref="M46:O46"/>
    <mergeCell ref="M64:N64"/>
    <mergeCell ref="N57:P57"/>
    <mergeCell ref="B58:P58"/>
    <mergeCell ref="B59:P59"/>
    <mergeCell ref="B55:L55"/>
    <mergeCell ref="B56:L56"/>
    <mergeCell ref="N56:P56"/>
    <mergeCell ref="B57:L57"/>
    <mergeCell ref="M55:P55"/>
    <mergeCell ref="M48:P48"/>
    <mergeCell ref="M50:P50"/>
    <mergeCell ref="M53:P53"/>
    <mergeCell ref="M54:P54"/>
    <mergeCell ref="M49:P49"/>
    <mergeCell ref="B29:K29"/>
    <mergeCell ref="B23:P23"/>
    <mergeCell ref="B24:P24"/>
    <mergeCell ref="B25:K25"/>
    <mergeCell ref="L25:L28"/>
    <mergeCell ref="M25:O25"/>
    <mergeCell ref="B26:K26"/>
    <mergeCell ref="M26:M28"/>
    <mergeCell ref="N26:N28"/>
    <mergeCell ref="O26:O28"/>
    <mergeCell ref="B27:K27"/>
    <mergeCell ref="B20:K20"/>
    <mergeCell ref="L20:N20"/>
    <mergeCell ref="O20:P20"/>
    <mergeCell ref="B22:P22"/>
    <mergeCell ref="B28:K28"/>
    <mergeCell ref="B21:P21"/>
    <mergeCell ref="B18:K18"/>
    <mergeCell ref="L18:N18"/>
    <mergeCell ref="O18:P18"/>
    <mergeCell ref="B19:K19"/>
    <mergeCell ref="L19:N19"/>
    <mergeCell ref="O19:P19"/>
    <mergeCell ref="B16:K16"/>
    <mergeCell ref="L16:N16"/>
    <mergeCell ref="O16:P16"/>
    <mergeCell ref="B17:K17"/>
    <mergeCell ref="L17:N17"/>
    <mergeCell ref="O17:P17"/>
    <mergeCell ref="B13:K13"/>
    <mergeCell ref="B14:K14"/>
    <mergeCell ref="B15:P15"/>
    <mergeCell ref="B9:K9"/>
    <mergeCell ref="B11:K11"/>
    <mergeCell ref="L11:P11"/>
    <mergeCell ref="B12:K12"/>
    <mergeCell ref="M9:P10"/>
    <mergeCell ref="B7:K7"/>
    <mergeCell ref="M7:P7"/>
    <mergeCell ref="B8:K8"/>
    <mergeCell ref="B6:K6"/>
    <mergeCell ref="M6:P6"/>
    <mergeCell ref="F2:O2"/>
    <mergeCell ref="P2:P3"/>
    <mergeCell ref="F3:O3"/>
    <mergeCell ref="B4:O4"/>
    <mergeCell ref="P4:P5"/>
    <mergeCell ref="B5:O5"/>
    <mergeCell ref="B69:C69"/>
    <mergeCell ref="M69:N69"/>
    <mergeCell ref="B67:C67"/>
    <mergeCell ref="M67:N67"/>
    <mergeCell ref="B68:C68"/>
    <mergeCell ref="M68:N68"/>
  </mergeCells>
  <phoneticPr fontId="14" type="noConversion"/>
  <pageMargins left="0.48622047200000001" right="0.27559055118110198" top="0.39370078740157499" bottom="0.98425196850393704" header="0.27559055118110198" footer="0.511811023622047"/>
  <pageSetup paperSize="5" scale="78" orientation="portrait" horizontalDpi="4294967294"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92D050"/>
  </sheetPr>
  <dimension ref="B1:T63"/>
  <sheetViews>
    <sheetView view="pageBreakPreview" topLeftCell="J10" zoomScale="70" zoomScaleNormal="110" zoomScaleSheetLayoutView="70" workbookViewId="0">
      <selection activeCell="P34" sqref="P34"/>
    </sheetView>
  </sheetViews>
  <sheetFormatPr defaultColWidth="8.7109375" defaultRowHeight="12.75" x14ac:dyDescent="0.2"/>
  <cols>
    <col min="1" max="1" width="5.85546875" style="715" customWidth="1"/>
    <col min="2" max="11" width="2.7109375" style="715" customWidth="1"/>
    <col min="12" max="12" width="40.42578125" style="715" customWidth="1"/>
    <col min="13" max="13" width="12.85546875" style="715" customWidth="1"/>
    <col min="14" max="14" width="8.5703125" style="715" customWidth="1"/>
    <col min="15" max="15" width="11.5703125" style="715" customWidth="1"/>
    <col min="16" max="17" width="16.5703125" style="715" customWidth="1"/>
    <col min="18" max="18" width="18" style="715" bestFit="1" customWidth="1"/>
    <col min="19" max="19" width="11.5703125" style="715" customWidth="1"/>
    <col min="20" max="20" width="8.7109375" style="715"/>
    <col min="21" max="21" width="10.28515625" style="715" bestFit="1" customWidth="1"/>
    <col min="22"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249</v>
      </c>
      <c r="C6" s="2463"/>
      <c r="D6" s="2463"/>
      <c r="E6" s="2463"/>
      <c r="F6" s="2463"/>
      <c r="G6" s="2463"/>
      <c r="H6" s="2463"/>
      <c r="I6" s="2463"/>
      <c r="J6" s="2463"/>
      <c r="K6" s="2463"/>
      <c r="L6" s="713" t="s">
        <v>442</v>
      </c>
      <c r="M6" s="2213" t="s">
        <v>437</v>
      </c>
      <c r="N6" s="2213"/>
      <c r="O6" s="2213"/>
      <c r="P6" s="2214"/>
      <c r="Q6" s="296"/>
    </row>
    <row r="7" spans="2:17" ht="12.95" customHeight="1" x14ac:dyDescent="0.2">
      <c r="B7" s="2471" t="s">
        <v>250</v>
      </c>
      <c r="C7" s="2355"/>
      <c r="D7" s="2355"/>
      <c r="E7" s="2355"/>
      <c r="F7" s="2355"/>
      <c r="G7" s="2355"/>
      <c r="H7" s="2355"/>
      <c r="I7" s="2355"/>
      <c r="J7" s="2355"/>
      <c r="K7" s="2355"/>
      <c r="L7" s="700" t="s">
        <v>441</v>
      </c>
      <c r="M7" s="2591" t="s">
        <v>466</v>
      </c>
      <c r="N7" s="2591"/>
      <c r="O7" s="2591"/>
      <c r="P7" s="2592"/>
      <c r="Q7" s="2081"/>
    </row>
    <row r="8" spans="2:17" ht="12.95" customHeight="1" x14ac:dyDescent="0.2">
      <c r="B8" s="2471" t="s">
        <v>253</v>
      </c>
      <c r="C8" s="2355"/>
      <c r="D8" s="2355"/>
      <c r="E8" s="2355"/>
      <c r="F8" s="2355"/>
      <c r="G8" s="2355"/>
      <c r="H8" s="2355"/>
      <c r="I8" s="2355"/>
      <c r="J8" s="2355"/>
      <c r="K8" s="2355"/>
      <c r="L8" s="700" t="s">
        <v>443</v>
      </c>
      <c r="M8" s="29" t="s">
        <v>124</v>
      </c>
      <c r="N8" s="30"/>
      <c r="O8" s="30"/>
      <c r="P8" s="75"/>
      <c r="Q8" s="2054"/>
    </row>
    <row r="9" spans="2:17" s="717" customFormat="1" ht="12.95" customHeight="1" x14ac:dyDescent="0.2">
      <c r="B9" s="2571" t="s">
        <v>244</v>
      </c>
      <c r="C9" s="2548"/>
      <c r="D9" s="2548"/>
      <c r="E9" s="2548"/>
      <c r="F9" s="2548"/>
      <c r="G9" s="2548"/>
      <c r="H9" s="2548"/>
      <c r="I9" s="2548"/>
      <c r="J9" s="2548"/>
      <c r="K9" s="2548"/>
      <c r="L9" s="34" t="s">
        <v>449</v>
      </c>
      <c r="M9" s="29" t="s">
        <v>135</v>
      </c>
      <c r="N9" s="1102"/>
      <c r="O9" s="1102"/>
      <c r="P9" s="1103"/>
      <c r="Q9" s="2082"/>
    </row>
    <row r="10" spans="2:17" s="717" customFormat="1" ht="12.95" customHeight="1" x14ac:dyDescent="0.2">
      <c r="B10" s="711"/>
      <c r="C10" s="712"/>
      <c r="D10" s="712"/>
      <c r="E10" s="712"/>
      <c r="F10" s="712"/>
      <c r="G10" s="712"/>
      <c r="H10" s="712"/>
      <c r="I10" s="712"/>
      <c r="J10" s="712"/>
      <c r="K10" s="712"/>
      <c r="L10" s="700"/>
      <c r="M10" s="1104"/>
      <c r="N10" s="1104"/>
      <c r="O10" s="1104"/>
      <c r="P10" s="1105"/>
      <c r="Q10" s="2082"/>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62920000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57190000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60049500</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19" ht="12.95" customHeight="1" x14ac:dyDescent="0.2">
      <c r="B17" s="2454" t="s">
        <v>37</v>
      </c>
      <c r="C17" s="2286"/>
      <c r="D17" s="2286"/>
      <c r="E17" s="2286"/>
      <c r="F17" s="2286"/>
      <c r="G17" s="2286"/>
      <c r="H17" s="2286"/>
      <c r="I17" s="2286"/>
      <c r="J17" s="2286"/>
      <c r="K17" s="2455"/>
      <c r="L17" s="2228" t="s">
        <v>705</v>
      </c>
      <c r="M17" s="2228"/>
      <c r="N17" s="2577"/>
      <c r="O17" s="2474">
        <v>0.4</v>
      </c>
      <c r="P17" s="2229"/>
      <c r="Q17" s="2028"/>
    </row>
    <row r="18" spans="2:19" ht="12.95" customHeight="1" x14ac:dyDescent="0.2">
      <c r="B18" s="2454" t="s">
        <v>228</v>
      </c>
      <c r="C18" s="2286"/>
      <c r="D18" s="2286"/>
      <c r="E18" s="2286"/>
      <c r="F18" s="2286"/>
      <c r="G18" s="2286"/>
      <c r="H18" s="2286"/>
      <c r="I18" s="2286"/>
      <c r="J18" s="2286"/>
      <c r="K18" s="2455"/>
      <c r="L18" s="2228" t="s">
        <v>287</v>
      </c>
      <c r="M18" s="2228"/>
      <c r="N18" s="2577"/>
      <c r="O18" s="2459">
        <f>P30</f>
        <v>57190000</v>
      </c>
      <c r="P18" s="2460"/>
      <c r="Q18" s="2028"/>
    </row>
    <row r="19" spans="2:19" ht="12.95" customHeight="1" x14ac:dyDescent="0.2">
      <c r="B19" s="2454" t="s">
        <v>229</v>
      </c>
      <c r="C19" s="2286"/>
      <c r="D19" s="2286"/>
      <c r="E19" s="2286"/>
      <c r="F19" s="2286"/>
      <c r="G19" s="2286"/>
      <c r="H19" s="2286"/>
      <c r="I19" s="2286"/>
      <c r="J19" s="2286"/>
      <c r="K19" s="2455"/>
      <c r="L19" s="2228" t="s">
        <v>706</v>
      </c>
      <c r="M19" s="2228"/>
      <c r="N19" s="2577"/>
      <c r="O19" s="2461" t="s">
        <v>722</v>
      </c>
      <c r="P19" s="2460"/>
      <c r="Q19" s="2028"/>
    </row>
    <row r="20" spans="2:19" ht="12.95" customHeight="1" x14ac:dyDescent="0.2">
      <c r="B20" s="2454" t="s">
        <v>230</v>
      </c>
      <c r="C20" s="2286"/>
      <c r="D20" s="2286"/>
      <c r="E20" s="2286"/>
      <c r="F20" s="2286"/>
      <c r="G20" s="2286"/>
      <c r="H20" s="2286"/>
      <c r="I20" s="2286"/>
      <c r="J20" s="2286"/>
      <c r="K20" s="2455"/>
      <c r="L20" s="2228" t="s">
        <v>700</v>
      </c>
      <c r="M20" s="2228"/>
      <c r="N20" s="2577"/>
      <c r="O20" s="2474">
        <v>0.4</v>
      </c>
      <c r="P20" s="2229"/>
      <c r="Q20" s="2028"/>
    </row>
    <row r="21" spans="2:19" ht="6.95" customHeight="1" x14ac:dyDescent="0.2">
      <c r="B21" s="2445"/>
      <c r="C21" s="2446"/>
      <c r="D21" s="2446"/>
      <c r="E21" s="2446"/>
      <c r="F21" s="2446"/>
      <c r="G21" s="2446"/>
      <c r="H21" s="2446"/>
      <c r="I21" s="2446"/>
      <c r="J21" s="2446"/>
      <c r="K21" s="2446"/>
      <c r="L21" s="2446"/>
      <c r="M21" s="2446"/>
      <c r="N21" s="2446"/>
      <c r="O21" s="2446"/>
      <c r="P21" s="2447"/>
      <c r="Q21" s="2046"/>
    </row>
    <row r="22" spans="2:19" ht="12.95" customHeight="1" x14ac:dyDescent="0.2">
      <c r="B22" s="2215" t="s">
        <v>539</v>
      </c>
      <c r="C22" s="2216"/>
      <c r="D22" s="2216"/>
      <c r="E22" s="2216"/>
      <c r="F22" s="2216"/>
      <c r="G22" s="2216"/>
      <c r="H22" s="2216"/>
      <c r="I22" s="2216"/>
      <c r="J22" s="2216"/>
      <c r="K22" s="2216"/>
      <c r="L22" s="2216"/>
      <c r="M22" s="2216"/>
      <c r="N22" s="2216"/>
      <c r="O22" s="2216"/>
      <c r="P22" s="2486"/>
      <c r="Q22" s="2022"/>
    </row>
    <row r="23" spans="2:19" ht="12.95" customHeight="1" x14ac:dyDescent="0.2">
      <c r="B23" s="2487" t="s">
        <v>231</v>
      </c>
      <c r="C23" s="2488"/>
      <c r="D23" s="2488"/>
      <c r="E23" s="2488"/>
      <c r="F23" s="2488"/>
      <c r="G23" s="2488"/>
      <c r="H23" s="2488"/>
      <c r="I23" s="2488"/>
      <c r="J23" s="2488"/>
      <c r="K23" s="2488"/>
      <c r="L23" s="2488"/>
      <c r="M23" s="2488"/>
      <c r="N23" s="2488"/>
      <c r="O23" s="2488"/>
      <c r="P23" s="2489"/>
      <c r="Q23" s="520"/>
    </row>
    <row r="24" spans="2:19" ht="12.95" customHeight="1" x14ac:dyDescent="0.2">
      <c r="B24" s="2490" t="s">
        <v>38</v>
      </c>
      <c r="C24" s="2491"/>
      <c r="D24" s="2491"/>
      <c r="E24" s="2491"/>
      <c r="F24" s="2491"/>
      <c r="G24" s="2491"/>
      <c r="H24" s="2491"/>
      <c r="I24" s="2491"/>
      <c r="J24" s="2491"/>
      <c r="K24" s="2491"/>
      <c r="L24" s="2491"/>
      <c r="M24" s="2491"/>
      <c r="N24" s="2491"/>
      <c r="O24" s="2491"/>
      <c r="P24" s="2492"/>
      <c r="Q24" s="520"/>
    </row>
    <row r="25" spans="2:19"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19"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19"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19" ht="12.95" customHeight="1" x14ac:dyDescent="0.2">
      <c r="B28" s="2451"/>
      <c r="C28" s="2452"/>
      <c r="D28" s="2452"/>
      <c r="E28" s="2452"/>
      <c r="F28" s="2452"/>
      <c r="G28" s="2452"/>
      <c r="H28" s="2452"/>
      <c r="I28" s="2452"/>
      <c r="J28" s="2452"/>
      <c r="K28" s="2453"/>
      <c r="L28" s="2497"/>
      <c r="M28" s="2497"/>
      <c r="N28" s="2497"/>
      <c r="O28" s="2406"/>
      <c r="P28" s="719"/>
      <c r="Q28" s="2047"/>
    </row>
    <row r="29" spans="2:19" ht="12.95" customHeight="1" thickBot="1" x14ac:dyDescent="0.25">
      <c r="B29" s="2483">
        <v>1</v>
      </c>
      <c r="C29" s="2484"/>
      <c r="D29" s="2484"/>
      <c r="E29" s="2484"/>
      <c r="F29" s="2484"/>
      <c r="G29" s="2484"/>
      <c r="H29" s="2484"/>
      <c r="I29" s="2484"/>
      <c r="J29" s="2484"/>
      <c r="K29" s="2485"/>
      <c r="L29" s="710">
        <v>2</v>
      </c>
      <c r="M29" s="710">
        <v>3</v>
      </c>
      <c r="N29" s="710">
        <v>4</v>
      </c>
      <c r="O29" s="12">
        <v>5</v>
      </c>
      <c r="P29" s="79" t="s">
        <v>24</v>
      </c>
      <c r="Q29" s="2027"/>
    </row>
    <row r="30" spans="2:19" ht="12.95" customHeight="1" thickTop="1" x14ac:dyDescent="0.2">
      <c r="B30" s="80">
        <v>1</v>
      </c>
      <c r="C30" s="33" t="s">
        <v>440</v>
      </c>
      <c r="D30" s="317" t="s">
        <v>142</v>
      </c>
      <c r="E30" s="709"/>
      <c r="F30" s="335"/>
      <c r="G30" s="706">
        <v>5</v>
      </c>
      <c r="H30" s="706">
        <v>2</v>
      </c>
      <c r="I30" s="706"/>
      <c r="J30" s="706"/>
      <c r="K30" s="706"/>
      <c r="L30" s="28" t="s">
        <v>108</v>
      </c>
      <c r="M30" s="16"/>
      <c r="N30" s="16"/>
      <c r="O30" s="18"/>
      <c r="P30" s="88">
        <f>P32</f>
        <v>57190000</v>
      </c>
      <c r="Q30" s="2048"/>
      <c r="R30" s="782">
        <f>L12</f>
        <v>62920000</v>
      </c>
    </row>
    <row r="31" spans="2:19" ht="12.95" customHeight="1" x14ac:dyDescent="0.2">
      <c r="B31" s="80">
        <v>1</v>
      </c>
      <c r="C31" s="33" t="s">
        <v>440</v>
      </c>
      <c r="D31" s="317" t="s">
        <v>142</v>
      </c>
      <c r="E31" s="705" t="s">
        <v>142</v>
      </c>
      <c r="F31" s="46"/>
      <c r="G31" s="706"/>
      <c r="H31" s="706"/>
      <c r="I31" s="706"/>
      <c r="J31" s="706"/>
      <c r="K31" s="706"/>
      <c r="L31" s="25" t="s">
        <v>179</v>
      </c>
      <c r="M31" s="16"/>
      <c r="N31" s="16"/>
      <c r="O31" s="18"/>
      <c r="P31" s="89">
        <f>P32</f>
        <v>57190000</v>
      </c>
      <c r="Q31" s="2049"/>
      <c r="R31" s="721">
        <f>P30-R30</f>
        <v>-5730000</v>
      </c>
    </row>
    <row r="32" spans="2:19" ht="12.95" customHeight="1" x14ac:dyDescent="0.2">
      <c r="B32" s="80">
        <v>1</v>
      </c>
      <c r="C32" s="33" t="s">
        <v>440</v>
      </c>
      <c r="D32" s="317" t="s">
        <v>142</v>
      </c>
      <c r="E32" s="705" t="s">
        <v>142</v>
      </c>
      <c r="F32" s="47">
        <v>17</v>
      </c>
      <c r="G32" s="706"/>
      <c r="H32" s="706"/>
      <c r="I32" s="706"/>
      <c r="J32" s="706"/>
      <c r="K32" s="33"/>
      <c r="L32" s="25" t="s">
        <v>175</v>
      </c>
      <c r="M32" s="16"/>
      <c r="N32" s="16"/>
      <c r="O32" s="18"/>
      <c r="P32" s="89">
        <f>P34</f>
        <v>57190000</v>
      </c>
      <c r="Q32" s="2049"/>
      <c r="S32" s="1106"/>
    </row>
    <row r="33" spans="2:20" ht="12.95" customHeight="1" x14ac:dyDescent="0.2">
      <c r="B33" s="80"/>
      <c r="C33" s="33"/>
      <c r="D33" s="33"/>
      <c r="E33" s="705"/>
      <c r="F33" s="47"/>
      <c r="G33" s="706"/>
      <c r="H33" s="706"/>
      <c r="I33" s="706"/>
      <c r="J33" s="706"/>
      <c r="K33" s="33"/>
      <c r="L33" s="25"/>
      <c r="M33" s="16"/>
      <c r="N33" s="16"/>
      <c r="O33" s="18"/>
      <c r="P33" s="90"/>
      <c r="Q33" s="2079"/>
    </row>
    <row r="34" spans="2:20" ht="12.95" customHeight="1" x14ac:dyDescent="0.2">
      <c r="B34" s="80">
        <v>1</v>
      </c>
      <c r="C34" s="33" t="s">
        <v>440</v>
      </c>
      <c r="D34" s="317" t="s">
        <v>142</v>
      </c>
      <c r="E34" s="705" t="s">
        <v>142</v>
      </c>
      <c r="F34" s="47">
        <v>17</v>
      </c>
      <c r="G34" s="706">
        <v>5</v>
      </c>
      <c r="H34" s="706">
        <v>2</v>
      </c>
      <c r="I34" s="706">
        <v>2</v>
      </c>
      <c r="J34" s="706"/>
      <c r="K34" s="706"/>
      <c r="L34" s="56" t="s">
        <v>120</v>
      </c>
      <c r="M34" s="16"/>
      <c r="N34" s="16"/>
      <c r="O34" s="18"/>
      <c r="P34" s="90">
        <f>P35</f>
        <v>57190000</v>
      </c>
      <c r="Q34" s="2079"/>
    </row>
    <row r="35" spans="2:20" ht="12.95" customHeight="1" x14ac:dyDescent="0.2">
      <c r="B35" s="80">
        <v>1</v>
      </c>
      <c r="C35" s="33" t="s">
        <v>440</v>
      </c>
      <c r="D35" s="317" t="s">
        <v>142</v>
      </c>
      <c r="E35" s="705" t="s">
        <v>142</v>
      </c>
      <c r="F35" s="47">
        <v>17</v>
      </c>
      <c r="G35" s="706">
        <v>5</v>
      </c>
      <c r="H35" s="706">
        <v>2</v>
      </c>
      <c r="I35" s="706">
        <v>2</v>
      </c>
      <c r="J35" s="33">
        <v>11</v>
      </c>
      <c r="K35" s="33" t="s">
        <v>142</v>
      </c>
      <c r="L35" s="23" t="s">
        <v>2</v>
      </c>
      <c r="M35" s="338"/>
      <c r="N35" s="185"/>
      <c r="O35" s="262"/>
      <c r="P35" s="769">
        <f>SUM(P36:P37)</f>
        <v>57190000</v>
      </c>
      <c r="Q35" s="1474"/>
    </row>
    <row r="36" spans="2:20" ht="24.6" customHeight="1" x14ac:dyDescent="0.2">
      <c r="B36" s="80"/>
      <c r="C36" s="706"/>
      <c r="D36" s="706"/>
      <c r="E36" s="709"/>
      <c r="F36" s="46"/>
      <c r="G36" s="706"/>
      <c r="H36" s="706"/>
      <c r="I36" s="706"/>
      <c r="J36" s="706"/>
      <c r="K36" s="706"/>
      <c r="L36" s="1959" t="s">
        <v>1071</v>
      </c>
      <c r="M36" s="1122">
        <f>15*22*11</f>
        <v>3630</v>
      </c>
      <c r="N36" s="1107" t="s">
        <v>733</v>
      </c>
      <c r="O36" s="1108">
        <v>13000</v>
      </c>
      <c r="P36" s="1109">
        <f>O36*M36</f>
        <v>47190000</v>
      </c>
      <c r="Q36" s="2083"/>
      <c r="R36" s="715">
        <f>40%*34</f>
        <v>13.600000000000001</v>
      </c>
    </row>
    <row r="37" spans="2:20" ht="27" customHeight="1" x14ac:dyDescent="0.2">
      <c r="B37" s="80"/>
      <c r="C37" s="1079"/>
      <c r="D37" s="1079"/>
      <c r="E37" s="1080"/>
      <c r="F37" s="54"/>
      <c r="G37" s="1079"/>
      <c r="H37" s="1079"/>
      <c r="I37" s="1079"/>
      <c r="J37" s="1079"/>
      <c r="K37" s="1079"/>
      <c r="L37" s="1960" t="s">
        <v>1072</v>
      </c>
      <c r="M37" s="1122">
        <v>1</v>
      </c>
      <c r="N37" s="1107" t="s">
        <v>941</v>
      </c>
      <c r="O37" s="1108">
        <v>10000000</v>
      </c>
      <c r="P37" s="1109">
        <f>O37*M37</f>
        <v>10000000</v>
      </c>
      <c r="Q37" s="2083"/>
    </row>
    <row r="38" spans="2:20" ht="12.95" customHeight="1" x14ac:dyDescent="0.2">
      <c r="B38" s="91"/>
      <c r="C38" s="10"/>
      <c r="D38" s="10"/>
      <c r="E38" s="20"/>
      <c r="F38" s="792"/>
      <c r="G38" s="10"/>
      <c r="H38" s="10"/>
      <c r="I38" s="10"/>
      <c r="J38" s="10"/>
      <c r="K38" s="10"/>
      <c r="L38" s="1110"/>
      <c r="M38" s="771"/>
      <c r="N38" s="771"/>
      <c r="O38" s="1111"/>
      <c r="P38" s="1112"/>
      <c r="Q38" s="1187"/>
      <c r="S38" s="131"/>
      <c r="T38" s="1113"/>
    </row>
    <row r="39" spans="2:20" ht="12.95" customHeight="1" x14ac:dyDescent="0.2">
      <c r="B39" s="1075"/>
      <c r="C39" s="1060"/>
      <c r="D39" s="1076"/>
      <c r="E39" s="1076"/>
      <c r="F39" s="1076"/>
      <c r="G39" s="1076"/>
      <c r="H39" s="1076"/>
      <c r="I39" s="1076"/>
      <c r="J39" s="1076"/>
      <c r="K39" s="1076"/>
      <c r="L39" s="1076"/>
      <c r="M39" s="2289" t="s">
        <v>146</v>
      </c>
      <c r="N39" s="2289"/>
      <c r="O39" s="2512"/>
      <c r="P39" s="1114">
        <f>P31</f>
        <v>57190000</v>
      </c>
      <c r="Q39" s="2049"/>
      <c r="S39" s="144"/>
      <c r="T39" s="144"/>
    </row>
    <row r="40" spans="2:20" ht="12.95" customHeight="1" x14ac:dyDescent="0.2">
      <c r="B40" s="932"/>
      <c r="C40" s="729"/>
      <c r="D40" s="729"/>
      <c r="E40" s="729"/>
      <c r="F40" s="729"/>
      <c r="G40" s="729"/>
      <c r="H40" s="729"/>
      <c r="I40" s="729"/>
      <c r="J40" s="729"/>
      <c r="K40" s="729"/>
      <c r="L40" s="131"/>
      <c r="M40" s="702"/>
      <c r="N40" s="144"/>
      <c r="O40" s="144"/>
      <c r="P40" s="189"/>
      <c r="Q40" s="144"/>
      <c r="R40" s="131"/>
    </row>
    <row r="41" spans="2:20" ht="12.95" customHeight="1" x14ac:dyDescent="0.2">
      <c r="B41" s="170"/>
      <c r="C41" s="131"/>
      <c r="D41" s="131"/>
      <c r="E41" s="131"/>
      <c r="F41" s="131"/>
      <c r="G41" s="131"/>
      <c r="H41" s="131"/>
      <c r="I41" s="131"/>
      <c r="J41" s="131"/>
      <c r="K41" s="131"/>
      <c r="L41" s="131"/>
      <c r="M41" s="2167" t="str">
        <f>'RECAP APBD'!E43</f>
        <v>Banda Aceh,                   2020</v>
      </c>
      <c r="N41" s="2167"/>
      <c r="O41" s="2167"/>
      <c r="P41" s="2168"/>
      <c r="Q41" s="2019"/>
      <c r="R41" s="144"/>
    </row>
    <row r="42" spans="2:20" ht="12.95" customHeight="1" x14ac:dyDescent="0.2">
      <c r="B42" s="170"/>
      <c r="C42" s="131"/>
      <c r="D42" s="131"/>
      <c r="E42" s="131"/>
      <c r="F42" s="131"/>
      <c r="G42" s="131"/>
      <c r="H42" s="131"/>
      <c r="I42" s="131"/>
      <c r="J42" s="131"/>
      <c r="K42" s="131"/>
      <c r="L42" s="131"/>
      <c r="M42" s="2172" t="str">
        <f>'RECAP APBD'!E44</f>
        <v>Pengguna Anggaran</v>
      </c>
      <c r="N42" s="2172"/>
      <c r="O42" s="2172"/>
      <c r="P42" s="2173"/>
      <c r="Q42" s="2020"/>
      <c r="R42" s="144"/>
      <c r="S42" s="144"/>
      <c r="T42" s="144"/>
    </row>
    <row r="43" spans="2:20" ht="12.95" customHeight="1" x14ac:dyDescent="0.2">
      <c r="B43" s="170"/>
      <c r="C43" s="131"/>
      <c r="D43" s="131"/>
      <c r="E43" s="131"/>
      <c r="F43" s="131"/>
      <c r="G43" s="131"/>
      <c r="H43" s="131"/>
      <c r="I43" s="131"/>
      <c r="J43" s="131"/>
      <c r="K43" s="131"/>
      <c r="L43" s="131"/>
      <c r="M43" s="2172" t="str">
        <f>'RECAP APBD'!E45</f>
        <v>Satuan Kerja Perangkat Daerah</v>
      </c>
      <c r="N43" s="2172"/>
      <c r="O43" s="2172"/>
      <c r="P43" s="2173"/>
      <c r="Q43" s="2020"/>
      <c r="R43" s="730"/>
      <c r="S43" s="730"/>
      <c r="T43" s="730"/>
    </row>
    <row r="44" spans="2:20" ht="12.95" customHeight="1" x14ac:dyDescent="0.2">
      <c r="B44" s="170"/>
      <c r="C44" s="131"/>
      <c r="D44" s="131"/>
      <c r="E44" s="131"/>
      <c r="F44" s="131"/>
      <c r="G44" s="131"/>
      <c r="H44" s="131"/>
      <c r="I44" s="131"/>
      <c r="J44" s="131"/>
      <c r="K44" s="131"/>
      <c r="L44" s="131"/>
      <c r="M44" s="701"/>
      <c r="N44" s="144"/>
      <c r="O44" s="144"/>
      <c r="P44" s="189"/>
      <c r="Q44" s="144"/>
      <c r="R44" s="730"/>
      <c r="S44" s="730"/>
      <c r="T44" s="730"/>
    </row>
    <row r="45" spans="2:20" ht="12.95" customHeight="1" x14ac:dyDescent="0.2">
      <c r="B45" s="170"/>
      <c r="C45" s="131"/>
      <c r="D45" s="131"/>
      <c r="E45" s="131"/>
      <c r="F45" s="131"/>
      <c r="G45" s="131"/>
      <c r="H45" s="131"/>
      <c r="I45" s="131"/>
      <c r="J45" s="131"/>
      <c r="K45" s="131"/>
      <c r="L45" s="131"/>
      <c r="M45" s="701"/>
      <c r="N45" s="144"/>
      <c r="O45" s="144"/>
      <c r="P45" s="189"/>
      <c r="Q45" s="144"/>
      <c r="R45" s="730"/>
      <c r="S45" s="730"/>
      <c r="T45" s="730"/>
    </row>
    <row r="46" spans="2:20" ht="12.95" customHeight="1" x14ac:dyDescent="0.2">
      <c r="B46" s="170"/>
      <c r="C46" s="131"/>
      <c r="D46" s="131"/>
      <c r="E46" s="131"/>
      <c r="F46" s="131"/>
      <c r="G46" s="131"/>
      <c r="H46" s="131"/>
      <c r="I46" s="131"/>
      <c r="J46" s="131"/>
      <c r="K46" s="131"/>
      <c r="M46" s="2172" t="str">
        <f>'RECAP APBD'!E48</f>
        <v>Bustami, SH</v>
      </c>
      <c r="N46" s="2172"/>
      <c r="O46" s="2172"/>
      <c r="P46" s="2173"/>
      <c r="Q46" s="2020"/>
      <c r="R46" s="730"/>
      <c r="S46" s="730"/>
      <c r="T46" s="699"/>
    </row>
    <row r="47" spans="2:20" ht="12.95" customHeight="1" x14ac:dyDescent="0.2">
      <c r="B47" s="731"/>
      <c r="C47" s="732"/>
      <c r="D47" s="732"/>
      <c r="E47" s="732"/>
      <c r="F47" s="732"/>
      <c r="G47" s="732"/>
      <c r="H47" s="732"/>
      <c r="I47" s="732"/>
      <c r="J47" s="732"/>
      <c r="K47" s="732"/>
      <c r="L47" s="714"/>
      <c r="M47" s="2573" t="str">
        <f>'RECAP APBD'!E49</f>
        <v>Pembina Utama Muda / Nip. 19630824 198703 1 004</v>
      </c>
      <c r="N47" s="2573"/>
      <c r="O47" s="2573"/>
      <c r="P47" s="2574"/>
      <c r="Q47" s="2033"/>
      <c r="R47" s="148"/>
      <c r="S47" s="148"/>
      <c r="T47" s="148"/>
    </row>
    <row r="48" spans="2:20" ht="12.95" customHeight="1" x14ac:dyDescent="0.2">
      <c r="B48" s="2501" t="s">
        <v>140</v>
      </c>
      <c r="C48" s="2502"/>
      <c r="D48" s="2502"/>
      <c r="E48" s="2502"/>
      <c r="F48" s="2502"/>
      <c r="G48" s="2502"/>
      <c r="H48" s="2502"/>
      <c r="I48" s="2502"/>
      <c r="J48" s="2502"/>
      <c r="K48" s="2502"/>
      <c r="L48" s="2502"/>
      <c r="M48" s="2513"/>
      <c r="N48" s="2513"/>
      <c r="O48" s="2513"/>
      <c r="P48" s="2514"/>
      <c r="Q48" s="571"/>
      <c r="R48" s="144"/>
      <c r="S48" s="144"/>
      <c r="T48" s="144"/>
    </row>
    <row r="49" spans="2:17" ht="12.95" customHeight="1" x14ac:dyDescent="0.2">
      <c r="B49" s="2501" t="s">
        <v>22</v>
      </c>
      <c r="C49" s="2502"/>
      <c r="D49" s="2502"/>
      <c r="E49" s="2502"/>
      <c r="F49" s="2502"/>
      <c r="G49" s="2502"/>
      <c r="H49" s="2502"/>
      <c r="I49" s="2502"/>
      <c r="J49" s="2502"/>
      <c r="K49" s="2502"/>
      <c r="L49" s="2502"/>
      <c r="M49" s="251"/>
      <c r="N49" s="2508"/>
      <c r="O49" s="2508"/>
      <c r="P49" s="2509"/>
      <c r="Q49" s="1490"/>
    </row>
    <row r="50" spans="2:17" ht="12.95" customHeight="1" x14ac:dyDescent="0.2">
      <c r="B50" s="2501" t="s">
        <v>21</v>
      </c>
      <c r="C50" s="2502"/>
      <c r="D50" s="2502"/>
      <c r="E50" s="2502"/>
      <c r="F50" s="2502"/>
      <c r="G50" s="2502"/>
      <c r="H50" s="2502"/>
      <c r="I50" s="2502"/>
      <c r="J50" s="2502"/>
      <c r="K50" s="2502"/>
      <c r="L50" s="2502"/>
      <c r="M50" s="251"/>
      <c r="N50" s="2503"/>
      <c r="O50" s="2503"/>
      <c r="P50" s="2504"/>
      <c r="Q50" s="2034"/>
    </row>
    <row r="51" spans="2:17" ht="12.95" customHeight="1" x14ac:dyDescent="0.2">
      <c r="B51" s="2501" t="s">
        <v>204</v>
      </c>
      <c r="C51" s="2502"/>
      <c r="D51" s="2502"/>
      <c r="E51" s="2502"/>
      <c r="F51" s="2502"/>
      <c r="G51" s="2502"/>
      <c r="H51" s="2502"/>
      <c r="I51" s="2502"/>
      <c r="J51" s="2502"/>
      <c r="K51" s="2502"/>
      <c r="L51" s="2502"/>
      <c r="M51" s="2502"/>
      <c r="N51" s="2502"/>
      <c r="O51" s="2502"/>
      <c r="P51" s="2505"/>
      <c r="Q51" s="572"/>
    </row>
    <row r="52" spans="2:17" ht="12.95" customHeight="1" x14ac:dyDescent="0.2">
      <c r="B52" s="2501" t="s">
        <v>205</v>
      </c>
      <c r="C52" s="2502"/>
      <c r="D52" s="2502"/>
      <c r="E52" s="2502"/>
      <c r="F52" s="2502"/>
      <c r="G52" s="2502"/>
      <c r="H52" s="2502"/>
      <c r="I52" s="2502"/>
      <c r="J52" s="2502"/>
      <c r="K52" s="2502"/>
      <c r="L52" s="2502"/>
      <c r="M52" s="2502"/>
      <c r="N52" s="2502"/>
      <c r="O52" s="2502"/>
      <c r="P52" s="2505"/>
      <c r="Q52" s="572"/>
    </row>
    <row r="53" spans="2:17" ht="12.95" customHeight="1" thickBot="1" x14ac:dyDescent="0.25">
      <c r="B53" s="2517" t="s">
        <v>206</v>
      </c>
      <c r="C53" s="2518"/>
      <c r="D53" s="2518"/>
      <c r="E53" s="2518"/>
      <c r="F53" s="2518"/>
      <c r="G53" s="2518"/>
      <c r="H53" s="2518"/>
      <c r="I53" s="2518"/>
      <c r="J53" s="2518"/>
      <c r="K53" s="2518"/>
      <c r="L53" s="2518"/>
      <c r="M53" s="2518"/>
      <c r="N53" s="2518"/>
      <c r="O53" s="2518"/>
      <c r="P53" s="2519"/>
      <c r="Q53" s="572"/>
    </row>
    <row r="54" spans="2:17" ht="12.95" customHeight="1" thickTop="1" x14ac:dyDescent="0.2">
      <c r="B54" s="2523" t="s">
        <v>25</v>
      </c>
      <c r="C54" s="2524"/>
      <c r="D54" s="2524"/>
      <c r="E54" s="2524"/>
      <c r="F54" s="2524"/>
      <c r="G54" s="2524"/>
      <c r="H54" s="2524"/>
      <c r="I54" s="2524"/>
      <c r="J54" s="2524"/>
      <c r="K54" s="2524"/>
      <c r="L54" s="2524"/>
      <c r="M54" s="2524"/>
      <c r="N54" s="2524"/>
      <c r="O54" s="2524"/>
      <c r="P54" s="2525"/>
      <c r="Q54" s="2023"/>
    </row>
    <row r="55" spans="2:17" ht="12.95" customHeight="1" thickBot="1" x14ac:dyDescent="0.25">
      <c r="B55" s="2526" t="s">
        <v>207</v>
      </c>
      <c r="C55" s="2527"/>
      <c r="D55" s="2528" t="s">
        <v>208</v>
      </c>
      <c r="E55" s="2529"/>
      <c r="F55" s="2529"/>
      <c r="G55" s="2529"/>
      <c r="H55" s="2529"/>
      <c r="I55" s="2529"/>
      <c r="J55" s="2529"/>
      <c r="K55" s="2529"/>
      <c r="L55" s="2530"/>
      <c r="M55" s="2531" t="s">
        <v>209</v>
      </c>
      <c r="N55" s="2530"/>
      <c r="O55" s="4" t="s">
        <v>210</v>
      </c>
      <c r="P55" s="92" t="s">
        <v>211</v>
      </c>
      <c r="Q55" s="2027"/>
    </row>
    <row r="56" spans="2:17" ht="12.95" customHeight="1" thickTop="1" x14ac:dyDescent="0.2">
      <c r="B56" s="2535">
        <v>1</v>
      </c>
      <c r="C56" s="2536"/>
      <c r="D56" s="2532"/>
      <c r="E56" s="2533"/>
      <c r="F56" s="2533"/>
      <c r="G56" s="2533"/>
      <c r="H56" s="2533"/>
      <c r="I56" s="2533"/>
      <c r="J56" s="2533"/>
      <c r="K56" s="2533"/>
      <c r="L56" s="2534"/>
      <c r="M56" s="2538"/>
      <c r="N56" s="2539"/>
      <c r="O56" s="1073"/>
      <c r="P56" s="1177" t="s">
        <v>10</v>
      </c>
      <c r="Q56" s="1257"/>
    </row>
    <row r="57" spans="2:17" ht="12.95" customHeight="1" x14ac:dyDescent="0.2">
      <c r="B57" s="2522">
        <v>2</v>
      </c>
      <c r="C57" s="2240"/>
      <c r="D57" s="1116"/>
      <c r="E57" s="1117"/>
      <c r="F57" s="1117"/>
      <c r="G57" s="1117"/>
      <c r="H57" s="1117"/>
      <c r="I57" s="1117"/>
      <c r="J57" s="1117"/>
      <c r="K57" s="1117"/>
      <c r="L57" s="1118"/>
      <c r="M57" s="2442"/>
      <c r="N57" s="2247"/>
      <c r="O57" s="1085"/>
      <c r="P57" s="1177" t="s">
        <v>11</v>
      </c>
      <c r="Q57" s="1257"/>
    </row>
    <row r="58" spans="2:17" ht="12.95" customHeight="1" x14ac:dyDescent="0.2">
      <c r="B58" s="2522">
        <v>3</v>
      </c>
      <c r="C58" s="2240"/>
      <c r="D58" s="1116"/>
      <c r="E58" s="1117"/>
      <c r="F58" s="1117"/>
      <c r="G58" s="1117"/>
      <c r="H58" s="1117"/>
      <c r="I58" s="1117"/>
      <c r="J58" s="1117"/>
      <c r="K58" s="1117"/>
      <c r="L58" s="1118"/>
      <c r="M58" s="2442"/>
      <c r="N58" s="2247"/>
      <c r="O58" s="1085"/>
      <c r="P58" s="1177" t="s">
        <v>12</v>
      </c>
      <c r="Q58" s="1257"/>
    </row>
    <row r="59" spans="2:17" ht="12.95" customHeight="1" x14ac:dyDescent="0.2">
      <c r="B59" s="2522">
        <v>4</v>
      </c>
      <c r="C59" s="2240"/>
      <c r="D59" s="1116"/>
      <c r="E59" s="1117"/>
      <c r="F59" s="1117"/>
      <c r="G59" s="1117"/>
      <c r="H59" s="1117"/>
      <c r="I59" s="1117"/>
      <c r="J59" s="1117"/>
      <c r="K59" s="1117"/>
      <c r="L59" s="1118"/>
      <c r="M59" s="2443"/>
      <c r="N59" s="2253"/>
      <c r="O59" s="1085"/>
      <c r="P59" s="1177" t="s">
        <v>13</v>
      </c>
      <c r="Q59" s="1257"/>
    </row>
    <row r="60" spans="2:17" ht="12.95" customHeight="1" x14ac:dyDescent="0.2">
      <c r="B60" s="2522">
        <v>5</v>
      </c>
      <c r="C60" s="2240"/>
      <c r="D60" s="1116"/>
      <c r="E60" s="1117"/>
      <c r="F60" s="1117"/>
      <c r="G60" s="1117"/>
      <c r="H60" s="1117"/>
      <c r="I60" s="1117"/>
      <c r="J60" s="1117"/>
      <c r="K60" s="1117"/>
      <c r="L60" s="1118"/>
      <c r="M60" s="2443"/>
      <c r="N60" s="2253"/>
      <c r="O60" s="1085"/>
      <c r="P60" s="1177" t="s">
        <v>14</v>
      </c>
      <c r="Q60" s="1257"/>
    </row>
    <row r="61" spans="2:17" ht="12.95" customHeight="1" x14ac:dyDescent="0.2">
      <c r="B61" s="2522">
        <v>6</v>
      </c>
      <c r="C61" s="2240"/>
      <c r="D61" s="1116"/>
      <c r="E61" s="1117"/>
      <c r="F61" s="1117"/>
      <c r="G61" s="1117"/>
      <c r="H61" s="1117"/>
      <c r="I61" s="1117"/>
      <c r="J61" s="1117"/>
      <c r="K61" s="1117"/>
      <c r="L61" s="1118"/>
      <c r="M61" s="2443"/>
      <c r="N61" s="2253"/>
      <c r="O61" s="1085"/>
      <c r="P61" s="1178" t="s">
        <v>42</v>
      </c>
      <c r="Q61" s="2052"/>
    </row>
    <row r="62" spans="2:17" ht="12.95" customHeight="1" thickBot="1" x14ac:dyDescent="0.25">
      <c r="B62" s="2520">
        <v>7</v>
      </c>
      <c r="C62" s="2521"/>
      <c r="D62" s="1119"/>
      <c r="E62" s="1120"/>
      <c r="F62" s="1120"/>
      <c r="G62" s="1120"/>
      <c r="H62" s="1120"/>
      <c r="I62" s="1120"/>
      <c r="J62" s="1120"/>
      <c r="K62" s="1120"/>
      <c r="L62" s="1121"/>
      <c r="M62" s="2537"/>
      <c r="N62" s="2300"/>
      <c r="O62" s="1061"/>
      <c r="P62" s="1179" t="s">
        <v>487</v>
      </c>
      <c r="Q62" s="2053"/>
    </row>
    <row r="63" spans="2:17" ht="17.100000000000001" customHeight="1" thickTop="1" x14ac:dyDescent="0.2">
      <c r="B63" s="122"/>
      <c r="C63" s="122"/>
      <c r="D63" s="834"/>
      <c r="E63" s="834"/>
      <c r="F63" s="834"/>
      <c r="G63" s="834"/>
      <c r="H63" s="834"/>
      <c r="I63" s="834"/>
      <c r="J63" s="834"/>
      <c r="K63" s="834"/>
      <c r="L63" s="834"/>
      <c r="M63" s="734"/>
      <c r="N63" s="734"/>
      <c r="O63" s="735"/>
      <c r="P63" s="835"/>
      <c r="Q63" s="2053"/>
    </row>
  </sheetData>
  <mergeCells count="81">
    <mergeCell ref="B29:K29"/>
    <mergeCell ref="B23:P23"/>
    <mergeCell ref="B24:P24"/>
    <mergeCell ref="B25:K25"/>
    <mergeCell ref="L25:L28"/>
    <mergeCell ref="M25:O25"/>
    <mergeCell ref="B26:K26"/>
    <mergeCell ref="M26:M28"/>
    <mergeCell ref="N26:N28"/>
    <mergeCell ref="O26:O28"/>
    <mergeCell ref="B27:K27"/>
    <mergeCell ref="B20:K20"/>
    <mergeCell ref="L20:N20"/>
    <mergeCell ref="O20:P20"/>
    <mergeCell ref="B22:P22"/>
    <mergeCell ref="B28:K28"/>
    <mergeCell ref="B21:P21"/>
    <mergeCell ref="B18:K18"/>
    <mergeCell ref="L18:N18"/>
    <mergeCell ref="O18:P18"/>
    <mergeCell ref="B19:K19"/>
    <mergeCell ref="L19:N19"/>
    <mergeCell ref="O19:P19"/>
    <mergeCell ref="B16:K16"/>
    <mergeCell ref="L16:N16"/>
    <mergeCell ref="O16:P16"/>
    <mergeCell ref="B17:K17"/>
    <mergeCell ref="L17:N17"/>
    <mergeCell ref="O17:P17"/>
    <mergeCell ref="B13:K13"/>
    <mergeCell ref="B14:K14"/>
    <mergeCell ref="B15:P15"/>
    <mergeCell ref="B11:K11"/>
    <mergeCell ref="L11:P11"/>
    <mergeCell ref="B12:K12"/>
    <mergeCell ref="B7:K7"/>
    <mergeCell ref="M7:P7"/>
    <mergeCell ref="B8:K8"/>
    <mergeCell ref="B9:K9"/>
    <mergeCell ref="B6:K6"/>
    <mergeCell ref="M6:P6"/>
    <mergeCell ref="F2:O2"/>
    <mergeCell ref="P2:P3"/>
    <mergeCell ref="F3:O3"/>
    <mergeCell ref="B4:O4"/>
    <mergeCell ref="P4:P5"/>
    <mergeCell ref="B5:O5"/>
    <mergeCell ref="B62:C62"/>
    <mergeCell ref="B61:C61"/>
    <mergeCell ref="B60:C60"/>
    <mergeCell ref="B51:P51"/>
    <mergeCell ref="B58:C58"/>
    <mergeCell ref="B57:C57"/>
    <mergeCell ref="B59:C59"/>
    <mergeCell ref="M58:N58"/>
    <mergeCell ref="M59:N59"/>
    <mergeCell ref="B56:C56"/>
    <mergeCell ref="B55:C55"/>
    <mergeCell ref="B54:P54"/>
    <mergeCell ref="B52:P52"/>
    <mergeCell ref="B53:P53"/>
    <mergeCell ref="M60:N60"/>
    <mergeCell ref="M61:N61"/>
    <mergeCell ref="M39:O39"/>
    <mergeCell ref="B48:L48"/>
    <mergeCell ref="M48:P48"/>
    <mergeCell ref="B49:L49"/>
    <mergeCell ref="B50:L50"/>
    <mergeCell ref="M41:P41"/>
    <mergeCell ref="M42:P42"/>
    <mergeCell ref="M46:P46"/>
    <mergeCell ref="M43:P43"/>
    <mergeCell ref="M47:P47"/>
    <mergeCell ref="N50:P50"/>
    <mergeCell ref="N49:P49"/>
    <mergeCell ref="M62:N62"/>
    <mergeCell ref="D55:L55"/>
    <mergeCell ref="M55:N55"/>
    <mergeCell ref="D56:L56"/>
    <mergeCell ref="M56:N56"/>
    <mergeCell ref="M57:N57"/>
  </mergeCells>
  <phoneticPr fontId="14" type="noConversion"/>
  <pageMargins left="0.37" right="0.25" top="0.51" bottom="0.63" header="0.26" footer="0.5"/>
  <pageSetup paperSize="5" scale="84" orientation="portrait" horizontalDpi="4294967294"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B1:T65"/>
  <sheetViews>
    <sheetView view="pageBreakPreview" topLeftCell="D10" zoomScale="70" zoomScaleNormal="100" zoomScaleSheetLayoutView="70" workbookViewId="0">
      <selection activeCell="O38" sqref="O38"/>
    </sheetView>
  </sheetViews>
  <sheetFormatPr defaultColWidth="8.7109375" defaultRowHeight="12.75" x14ac:dyDescent="0.2"/>
  <cols>
    <col min="1" max="1" width="6.42578125" style="715" customWidth="1"/>
    <col min="2" max="11" width="2.7109375" style="715" customWidth="1"/>
    <col min="12" max="12" width="40" style="715" customWidth="1"/>
    <col min="13" max="13" width="14.7109375" style="715" customWidth="1"/>
    <col min="14" max="14" width="8.5703125" style="715" customWidth="1"/>
    <col min="15" max="15" width="13.5703125" style="715" customWidth="1"/>
    <col min="16" max="17" width="17.5703125" style="715" customWidth="1"/>
    <col min="18" max="18" width="18.5703125" style="715" customWidth="1"/>
    <col min="19" max="19" width="16.140625" style="715" bestFit="1" customWidth="1"/>
    <col min="20"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245</v>
      </c>
      <c r="C6" s="2463"/>
      <c r="D6" s="2463"/>
      <c r="E6" s="2463"/>
      <c r="F6" s="2463"/>
      <c r="G6" s="2463"/>
      <c r="H6" s="2463"/>
      <c r="I6" s="2463"/>
      <c r="J6" s="2463"/>
      <c r="K6" s="2463"/>
      <c r="L6" s="713" t="s">
        <v>442</v>
      </c>
      <c r="M6" s="2213" t="s">
        <v>437</v>
      </c>
      <c r="N6" s="2213"/>
      <c r="O6" s="2213"/>
      <c r="P6" s="2214"/>
      <c r="Q6" s="296"/>
    </row>
    <row r="7" spans="2:17" ht="12.95" customHeight="1" x14ac:dyDescent="0.2">
      <c r="B7" s="2471" t="s">
        <v>242</v>
      </c>
      <c r="C7" s="2355"/>
      <c r="D7" s="2355"/>
      <c r="E7" s="2355"/>
      <c r="F7" s="2355"/>
      <c r="G7" s="2355"/>
      <c r="H7" s="2355"/>
      <c r="I7" s="2355"/>
      <c r="J7" s="2355"/>
      <c r="K7" s="2355"/>
      <c r="L7" s="700" t="s">
        <v>441</v>
      </c>
      <c r="M7" s="2541" t="s">
        <v>466</v>
      </c>
      <c r="N7" s="2541"/>
      <c r="O7" s="2541"/>
      <c r="P7" s="2542"/>
      <c r="Q7" s="512"/>
    </row>
    <row r="8" spans="2:17" ht="12.95" customHeight="1" x14ac:dyDescent="0.2">
      <c r="B8" s="2471" t="s">
        <v>246</v>
      </c>
      <c r="C8" s="2355"/>
      <c r="D8" s="2355"/>
      <c r="E8" s="2355"/>
      <c r="F8" s="2355"/>
      <c r="G8" s="2355"/>
      <c r="H8" s="2355"/>
      <c r="I8" s="2355"/>
      <c r="J8" s="2355"/>
      <c r="K8" s="2355"/>
      <c r="L8" s="700" t="s">
        <v>443</v>
      </c>
      <c r="M8" s="29" t="s">
        <v>124</v>
      </c>
      <c r="N8" s="30"/>
      <c r="O8" s="30"/>
      <c r="P8" s="75"/>
      <c r="Q8" s="2054"/>
    </row>
    <row r="9" spans="2:17" s="717" customFormat="1" ht="12.95" customHeight="1" x14ac:dyDescent="0.2">
      <c r="B9" s="2571" t="s">
        <v>247</v>
      </c>
      <c r="C9" s="2548"/>
      <c r="D9" s="2548"/>
      <c r="E9" s="2548"/>
      <c r="F9" s="2548"/>
      <c r="G9" s="2548"/>
      <c r="H9" s="2548"/>
      <c r="I9" s="2548"/>
      <c r="J9" s="2548"/>
      <c r="K9" s="2548"/>
      <c r="L9" s="34" t="s">
        <v>450</v>
      </c>
      <c r="M9" s="2593" t="s">
        <v>301</v>
      </c>
      <c r="N9" s="2593"/>
      <c r="O9" s="2593"/>
      <c r="P9" s="2594"/>
      <c r="Q9" s="2084"/>
    </row>
    <row r="10" spans="2:17" s="717" customFormat="1" ht="12.95" customHeight="1" x14ac:dyDescent="0.2">
      <c r="B10" s="711"/>
      <c r="C10" s="712"/>
      <c r="D10" s="712"/>
      <c r="E10" s="712"/>
      <c r="F10" s="712"/>
      <c r="G10" s="712"/>
      <c r="H10" s="712"/>
      <c r="I10" s="712"/>
      <c r="J10" s="712"/>
      <c r="K10" s="712"/>
      <c r="L10" s="700"/>
      <c r="M10" s="2595"/>
      <c r="N10" s="2595"/>
      <c r="O10" s="2595"/>
      <c r="P10" s="2596"/>
      <c r="Q10" s="2085"/>
    </row>
    <row r="11" spans="2:17" ht="12.95" customHeight="1" x14ac:dyDescent="0.2">
      <c r="B11" s="2471" t="s">
        <v>221</v>
      </c>
      <c r="C11" s="2355"/>
      <c r="D11" s="2355"/>
      <c r="E11" s="2355"/>
      <c r="F11" s="2355"/>
      <c r="G11" s="2355"/>
      <c r="H11" s="2355"/>
      <c r="I11" s="2355"/>
      <c r="J11" s="2355"/>
      <c r="K11" s="2355"/>
      <c r="L11" s="2475" t="s">
        <v>900</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80000000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84042121</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88244227.049999997</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18" ht="12.95" customHeight="1" x14ac:dyDescent="0.2">
      <c r="B17" s="2454" t="s">
        <v>37</v>
      </c>
      <c r="C17" s="2286"/>
      <c r="D17" s="2286"/>
      <c r="E17" s="2286"/>
      <c r="F17" s="2286"/>
      <c r="G17" s="2286"/>
      <c r="H17" s="2286"/>
      <c r="I17" s="2286"/>
      <c r="J17" s="2286"/>
      <c r="K17" s="2455"/>
      <c r="L17" s="2228" t="s">
        <v>707</v>
      </c>
      <c r="M17" s="2228"/>
      <c r="N17" s="2577"/>
      <c r="O17" s="2474">
        <v>1</v>
      </c>
      <c r="P17" s="2229"/>
      <c r="Q17" s="2028"/>
    </row>
    <row r="18" spans="2:18" ht="12.95" customHeight="1" x14ac:dyDescent="0.2">
      <c r="B18" s="2454" t="s">
        <v>228</v>
      </c>
      <c r="C18" s="2286"/>
      <c r="D18" s="2286"/>
      <c r="E18" s="2286"/>
      <c r="F18" s="2286"/>
      <c r="G18" s="2286"/>
      <c r="H18" s="2286"/>
      <c r="I18" s="2286"/>
      <c r="J18" s="2286"/>
      <c r="K18" s="2455"/>
      <c r="L18" s="2228" t="s">
        <v>287</v>
      </c>
      <c r="M18" s="2228"/>
      <c r="N18" s="2577"/>
      <c r="O18" s="2459">
        <f>P30</f>
        <v>84042121</v>
      </c>
      <c r="P18" s="2460"/>
      <c r="Q18" s="2028"/>
    </row>
    <row r="19" spans="2:18" ht="23.45" customHeight="1" x14ac:dyDescent="0.2">
      <c r="B19" s="2584" t="s">
        <v>229</v>
      </c>
      <c r="C19" s="2585"/>
      <c r="D19" s="2585"/>
      <c r="E19" s="2585"/>
      <c r="F19" s="2585"/>
      <c r="G19" s="2585"/>
      <c r="H19" s="2585"/>
      <c r="I19" s="2585"/>
      <c r="J19" s="2585"/>
      <c r="K19" s="2586"/>
      <c r="L19" s="2228" t="s">
        <v>686</v>
      </c>
      <c r="M19" s="2228"/>
      <c r="N19" s="2577"/>
      <c r="O19" s="2589" t="s">
        <v>723</v>
      </c>
      <c r="P19" s="2590"/>
      <c r="Q19" s="2025"/>
    </row>
    <row r="20" spans="2:18" ht="12.95" customHeight="1" x14ac:dyDescent="0.2">
      <c r="B20" s="2454" t="s">
        <v>230</v>
      </c>
      <c r="C20" s="2286"/>
      <c r="D20" s="2286"/>
      <c r="E20" s="2286"/>
      <c r="F20" s="2286"/>
      <c r="G20" s="2286"/>
      <c r="H20" s="2286"/>
      <c r="I20" s="2286"/>
      <c r="J20" s="2286"/>
      <c r="K20" s="2455"/>
      <c r="L20" s="2228" t="s">
        <v>700</v>
      </c>
      <c r="M20" s="2228"/>
      <c r="N20" s="2577"/>
      <c r="O20" s="2474">
        <v>1</v>
      </c>
      <c r="P20" s="2229"/>
      <c r="Q20" s="2028"/>
    </row>
    <row r="21" spans="2:18" ht="6.95" customHeight="1" x14ac:dyDescent="0.2">
      <c r="B21" s="2445"/>
      <c r="C21" s="2446"/>
      <c r="D21" s="2446"/>
      <c r="E21" s="2446"/>
      <c r="F21" s="2446"/>
      <c r="G21" s="2446"/>
      <c r="H21" s="2446"/>
      <c r="I21" s="2446"/>
      <c r="J21" s="2446"/>
      <c r="K21" s="2446"/>
      <c r="L21" s="2446"/>
      <c r="M21" s="2446"/>
      <c r="N21" s="2446"/>
      <c r="O21" s="2446"/>
      <c r="P21" s="2447"/>
      <c r="Q21" s="2046"/>
    </row>
    <row r="22" spans="2:18" ht="12.95" customHeight="1" x14ac:dyDescent="0.2">
      <c r="B22" s="2215" t="s">
        <v>539</v>
      </c>
      <c r="C22" s="2216"/>
      <c r="D22" s="2216"/>
      <c r="E22" s="2216"/>
      <c r="F22" s="2216"/>
      <c r="G22" s="2216"/>
      <c r="H22" s="2216"/>
      <c r="I22" s="2216"/>
      <c r="J22" s="2216"/>
      <c r="K22" s="2216"/>
      <c r="L22" s="2216"/>
      <c r="M22" s="2216"/>
      <c r="N22" s="2216"/>
      <c r="O22" s="2216"/>
      <c r="P22" s="2486"/>
      <c r="Q22" s="2022"/>
    </row>
    <row r="23" spans="2:18" ht="12.95" customHeight="1" x14ac:dyDescent="0.2">
      <c r="B23" s="2487" t="s">
        <v>231</v>
      </c>
      <c r="C23" s="2488"/>
      <c r="D23" s="2488"/>
      <c r="E23" s="2488"/>
      <c r="F23" s="2488"/>
      <c r="G23" s="2488"/>
      <c r="H23" s="2488"/>
      <c r="I23" s="2488"/>
      <c r="J23" s="2488"/>
      <c r="K23" s="2488"/>
      <c r="L23" s="2488"/>
      <c r="M23" s="2488"/>
      <c r="N23" s="2488"/>
      <c r="O23" s="2488"/>
      <c r="P23" s="2489"/>
      <c r="Q23" s="520"/>
    </row>
    <row r="24" spans="2:18" ht="12.95" customHeight="1" x14ac:dyDescent="0.2">
      <c r="B24" s="2490" t="s">
        <v>38</v>
      </c>
      <c r="C24" s="2491"/>
      <c r="D24" s="2491"/>
      <c r="E24" s="2491"/>
      <c r="F24" s="2491"/>
      <c r="G24" s="2491"/>
      <c r="H24" s="2491"/>
      <c r="I24" s="2491"/>
      <c r="J24" s="2491"/>
      <c r="K24" s="2491"/>
      <c r="L24" s="2491"/>
      <c r="M24" s="2491"/>
      <c r="N24" s="2491"/>
      <c r="O24" s="2491"/>
      <c r="P24" s="2492"/>
      <c r="Q24" s="520"/>
    </row>
    <row r="25" spans="2:18"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18"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18"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18" ht="12.95" customHeight="1" x14ac:dyDescent="0.2">
      <c r="B28" s="2451"/>
      <c r="C28" s="2452"/>
      <c r="D28" s="2452"/>
      <c r="E28" s="2452"/>
      <c r="F28" s="2452"/>
      <c r="G28" s="2452"/>
      <c r="H28" s="2452"/>
      <c r="I28" s="2452"/>
      <c r="J28" s="2452"/>
      <c r="K28" s="2453"/>
      <c r="L28" s="2497"/>
      <c r="M28" s="2497"/>
      <c r="N28" s="2497"/>
      <c r="O28" s="2406"/>
      <c r="P28" s="719"/>
      <c r="Q28" s="2047"/>
    </row>
    <row r="29" spans="2:18" ht="12.95" customHeight="1" thickBot="1" x14ac:dyDescent="0.25">
      <c r="B29" s="2483">
        <v>1</v>
      </c>
      <c r="C29" s="2484"/>
      <c r="D29" s="2484"/>
      <c r="E29" s="2484"/>
      <c r="F29" s="2484"/>
      <c r="G29" s="2484"/>
      <c r="H29" s="2484"/>
      <c r="I29" s="2484"/>
      <c r="J29" s="2484"/>
      <c r="K29" s="2485"/>
      <c r="L29" s="710">
        <v>2</v>
      </c>
      <c r="M29" s="710">
        <v>3</v>
      </c>
      <c r="N29" s="710">
        <v>4</v>
      </c>
      <c r="O29" s="12">
        <v>5</v>
      </c>
      <c r="P29" s="79" t="s">
        <v>24</v>
      </c>
      <c r="Q29" s="2027"/>
    </row>
    <row r="30" spans="2:18" ht="12.95" customHeight="1" thickTop="1" x14ac:dyDescent="0.2">
      <c r="B30" s="80">
        <v>1</v>
      </c>
      <c r="C30" s="33" t="s">
        <v>440</v>
      </c>
      <c r="D30" s="33" t="s">
        <v>142</v>
      </c>
      <c r="E30" s="709"/>
      <c r="F30" s="335"/>
      <c r="G30" s="706">
        <v>5</v>
      </c>
      <c r="H30" s="706">
        <v>2</v>
      </c>
      <c r="I30" s="706"/>
      <c r="J30" s="706"/>
      <c r="K30" s="706"/>
      <c r="L30" s="28" t="s">
        <v>108</v>
      </c>
      <c r="M30" s="16"/>
      <c r="N30" s="16"/>
      <c r="O30" s="18"/>
      <c r="P30" s="88">
        <f>P32</f>
        <v>84042121</v>
      </c>
      <c r="Q30" s="2048">
        <v>174000000</v>
      </c>
      <c r="R30" s="782">
        <f>L12</f>
        <v>80000000</v>
      </c>
    </row>
    <row r="31" spans="2:18" ht="12.95" customHeight="1" x14ac:dyDescent="0.2">
      <c r="B31" s="80">
        <v>1</v>
      </c>
      <c r="C31" s="33" t="s">
        <v>440</v>
      </c>
      <c r="D31" s="33" t="s">
        <v>142</v>
      </c>
      <c r="E31" s="705" t="s">
        <v>142</v>
      </c>
      <c r="F31" s="46"/>
      <c r="G31" s="706"/>
      <c r="H31" s="706"/>
      <c r="I31" s="706"/>
      <c r="J31" s="706"/>
      <c r="K31" s="706"/>
      <c r="L31" s="25" t="s">
        <v>179</v>
      </c>
      <c r="M31" s="16"/>
      <c r="N31" s="16"/>
      <c r="O31" s="18"/>
      <c r="P31" s="89">
        <f>P32</f>
        <v>84042121</v>
      </c>
      <c r="Q31" s="2049"/>
      <c r="R31" s="721">
        <f>P30-R30</f>
        <v>4042121</v>
      </c>
    </row>
    <row r="32" spans="2:18" ht="12.95" customHeight="1" x14ac:dyDescent="0.2">
      <c r="B32" s="80">
        <v>1</v>
      </c>
      <c r="C32" s="33" t="s">
        <v>440</v>
      </c>
      <c r="D32" s="33" t="s">
        <v>142</v>
      </c>
      <c r="E32" s="705" t="s">
        <v>142</v>
      </c>
      <c r="F32" s="47">
        <v>18</v>
      </c>
      <c r="G32" s="706"/>
      <c r="H32" s="706"/>
      <c r="I32" s="706"/>
      <c r="J32" s="706"/>
      <c r="K32" s="33"/>
      <c r="L32" s="25" t="s">
        <v>160</v>
      </c>
      <c r="M32" s="16"/>
      <c r="N32" s="16"/>
      <c r="O32" s="18"/>
      <c r="P32" s="89">
        <f>P36</f>
        <v>84042121</v>
      </c>
      <c r="Q32" s="2049"/>
    </row>
    <row r="33" spans="2:20" ht="12.95" customHeight="1" x14ac:dyDescent="0.2">
      <c r="B33" s="80"/>
      <c r="C33" s="33"/>
      <c r="D33" s="33"/>
      <c r="E33" s="705"/>
      <c r="F33" s="47"/>
      <c r="G33" s="706"/>
      <c r="H33" s="706"/>
      <c r="I33" s="706"/>
      <c r="J33" s="706"/>
      <c r="K33" s="33"/>
      <c r="L33" s="25" t="s">
        <v>161</v>
      </c>
      <c r="M33" s="16"/>
      <c r="N33" s="16"/>
      <c r="O33" s="18"/>
      <c r="P33" s="90"/>
      <c r="Q33" s="2079"/>
    </row>
    <row r="34" spans="2:20" ht="12.95" customHeight="1" x14ac:dyDescent="0.2">
      <c r="B34" s="80"/>
      <c r="C34" s="33"/>
      <c r="D34" s="33"/>
      <c r="E34" s="705"/>
      <c r="F34" s="47"/>
      <c r="G34" s="706"/>
      <c r="H34" s="706"/>
      <c r="I34" s="706"/>
      <c r="J34" s="706"/>
      <c r="K34" s="33"/>
      <c r="L34" s="25"/>
      <c r="M34" s="16"/>
      <c r="N34" s="16"/>
      <c r="O34" s="18"/>
      <c r="P34" s="90"/>
      <c r="Q34" s="2079"/>
    </row>
    <row r="35" spans="2:20" ht="12.95" customHeight="1" x14ac:dyDescent="0.2">
      <c r="B35" s="80">
        <v>1</v>
      </c>
      <c r="C35" s="33" t="s">
        <v>440</v>
      </c>
      <c r="D35" s="33" t="s">
        <v>142</v>
      </c>
      <c r="E35" s="705" t="s">
        <v>142</v>
      </c>
      <c r="F35" s="47">
        <v>18</v>
      </c>
      <c r="G35" s="706">
        <v>5</v>
      </c>
      <c r="H35" s="706">
        <v>2</v>
      </c>
      <c r="I35" s="706">
        <v>2</v>
      </c>
      <c r="J35" s="706"/>
      <c r="K35" s="706"/>
      <c r="L35" s="56" t="s">
        <v>120</v>
      </c>
      <c r="M35" s="16"/>
      <c r="N35" s="16"/>
      <c r="O35" s="18"/>
      <c r="P35" s="90"/>
      <c r="Q35" s="2079"/>
    </row>
    <row r="36" spans="2:20" ht="12.95" customHeight="1" x14ac:dyDescent="0.2">
      <c r="B36" s="80">
        <v>1</v>
      </c>
      <c r="C36" s="33" t="s">
        <v>440</v>
      </c>
      <c r="D36" s="33" t="s">
        <v>142</v>
      </c>
      <c r="E36" s="705" t="s">
        <v>142</v>
      </c>
      <c r="F36" s="47">
        <v>18</v>
      </c>
      <c r="G36" s="706">
        <v>5</v>
      </c>
      <c r="H36" s="706">
        <v>2</v>
      </c>
      <c r="I36" s="706">
        <v>2</v>
      </c>
      <c r="J36" s="33">
        <v>15</v>
      </c>
      <c r="K36" s="706"/>
      <c r="L36" s="26" t="s">
        <v>136</v>
      </c>
      <c r="M36" s="338"/>
      <c r="N36" s="185"/>
      <c r="O36" s="262"/>
      <c r="P36" s="769">
        <f>P37-P40</f>
        <v>84042121</v>
      </c>
      <c r="Q36" s="1474"/>
    </row>
    <row r="37" spans="2:20" ht="12.95" customHeight="1" x14ac:dyDescent="0.2">
      <c r="B37" s="80">
        <v>1</v>
      </c>
      <c r="C37" s="33" t="s">
        <v>440</v>
      </c>
      <c r="D37" s="33" t="s">
        <v>142</v>
      </c>
      <c r="E37" s="705" t="s">
        <v>142</v>
      </c>
      <c r="F37" s="47">
        <v>18</v>
      </c>
      <c r="G37" s="706">
        <v>5</v>
      </c>
      <c r="H37" s="706">
        <v>2</v>
      </c>
      <c r="I37" s="706">
        <v>2</v>
      </c>
      <c r="J37" s="33">
        <v>15</v>
      </c>
      <c r="K37" s="33" t="s">
        <v>145</v>
      </c>
      <c r="L37" s="23" t="s">
        <v>273</v>
      </c>
      <c r="M37" s="338"/>
      <c r="N37" s="185"/>
      <c r="O37" s="262"/>
      <c r="P37" s="769">
        <f>SUM(P38:P38)</f>
        <v>84042121</v>
      </c>
      <c r="Q37" s="1474"/>
    </row>
    <row r="38" spans="2:20" ht="12.95" customHeight="1" x14ac:dyDescent="0.2">
      <c r="B38" s="80"/>
      <c r="C38" s="33"/>
      <c r="D38" s="33"/>
      <c r="E38" s="705"/>
      <c r="F38" s="47"/>
      <c r="G38" s="706"/>
      <c r="H38" s="706"/>
      <c r="I38" s="706"/>
      <c r="J38" s="33"/>
      <c r="K38" s="33"/>
      <c r="L38" s="632" t="s">
        <v>893</v>
      </c>
      <c r="M38" s="1419">
        <v>1</v>
      </c>
      <c r="N38" s="1143" t="s">
        <v>122</v>
      </c>
      <c r="O38" s="1742">
        <v>84042121</v>
      </c>
      <c r="P38" s="1743">
        <f>O38*M38</f>
        <v>84042121</v>
      </c>
      <c r="Q38" s="2086"/>
    </row>
    <row r="39" spans="2:20" ht="12.95" customHeight="1" x14ac:dyDescent="0.2">
      <c r="B39" s="84"/>
      <c r="C39" s="69"/>
      <c r="D39" s="69"/>
      <c r="E39" s="286"/>
      <c r="F39" s="802"/>
      <c r="G39" s="39"/>
      <c r="H39" s="39"/>
      <c r="I39" s="39"/>
      <c r="J39" s="69"/>
      <c r="K39" s="69"/>
      <c r="L39" s="2087"/>
      <c r="M39" s="2088"/>
      <c r="N39" s="2089"/>
      <c r="O39" s="2090"/>
      <c r="P39" s="2091"/>
      <c r="Q39" s="2086"/>
    </row>
    <row r="40" spans="2:20" ht="12.95" customHeight="1" x14ac:dyDescent="0.2">
      <c r="B40" s="85"/>
      <c r="C40" s="708"/>
      <c r="D40" s="708"/>
      <c r="E40" s="707"/>
      <c r="F40" s="792"/>
      <c r="G40" s="708"/>
      <c r="H40" s="708"/>
      <c r="I40" s="708"/>
      <c r="J40" s="708"/>
      <c r="K40" s="708"/>
      <c r="L40" s="24"/>
      <c r="M40" s="827"/>
      <c r="N40" s="827"/>
      <c r="O40" s="1124"/>
      <c r="P40" s="2114"/>
      <c r="Q40" s="1187"/>
    </row>
    <row r="41" spans="2:20" ht="12.95" customHeight="1" x14ac:dyDescent="0.2">
      <c r="B41" s="1075"/>
      <c r="C41" s="1060"/>
      <c r="D41" s="1076"/>
      <c r="E41" s="1076"/>
      <c r="F41" s="1076"/>
      <c r="G41" s="1076"/>
      <c r="H41" s="1076"/>
      <c r="I41" s="1076"/>
      <c r="J41" s="1076"/>
      <c r="K41" s="1076"/>
      <c r="L41" s="1076"/>
      <c r="M41" s="2289" t="s">
        <v>146</v>
      </c>
      <c r="N41" s="2289"/>
      <c r="O41" s="2512"/>
      <c r="P41" s="728">
        <f>P31</f>
        <v>84042121</v>
      </c>
      <c r="Q41" s="301"/>
      <c r="S41" s="720"/>
    </row>
    <row r="42" spans="2:20" ht="12.95" customHeight="1" x14ac:dyDescent="0.2">
      <c r="B42" s="932"/>
      <c r="C42" s="729"/>
      <c r="D42" s="729"/>
      <c r="E42" s="729"/>
      <c r="F42" s="729"/>
      <c r="G42" s="729"/>
      <c r="H42" s="729"/>
      <c r="I42" s="729"/>
      <c r="J42" s="729"/>
      <c r="K42" s="729"/>
      <c r="L42" s="729"/>
      <c r="M42" s="702"/>
      <c r="N42" s="144"/>
      <c r="O42" s="144"/>
      <c r="P42" s="189"/>
      <c r="Q42" s="144"/>
      <c r="R42" s="131"/>
      <c r="S42" s="131"/>
      <c r="T42" s="131"/>
    </row>
    <row r="43" spans="2:20" ht="12.95" customHeight="1" x14ac:dyDescent="0.2">
      <c r="B43" s="170"/>
      <c r="C43" s="131"/>
      <c r="D43" s="131"/>
      <c r="E43" s="131"/>
      <c r="F43" s="131"/>
      <c r="G43" s="131"/>
      <c r="H43" s="131"/>
      <c r="I43" s="131"/>
      <c r="J43" s="131"/>
      <c r="K43" s="131"/>
      <c r="L43" s="131"/>
      <c r="M43" s="2167" t="str">
        <f>'RECAP APBD'!E43</f>
        <v>Banda Aceh,                   2020</v>
      </c>
      <c r="N43" s="2167"/>
      <c r="O43" s="2167"/>
      <c r="P43" s="2168"/>
      <c r="Q43" s="2019"/>
      <c r="R43" s="144"/>
      <c r="S43" s="144"/>
      <c r="T43" s="144"/>
    </row>
    <row r="44" spans="2:20" ht="12.95" customHeight="1" x14ac:dyDescent="0.2">
      <c r="B44" s="170"/>
      <c r="C44" s="131"/>
      <c r="D44" s="131"/>
      <c r="E44" s="131"/>
      <c r="F44" s="131"/>
      <c r="G44" s="131"/>
      <c r="H44" s="131"/>
      <c r="I44" s="131"/>
      <c r="J44" s="131"/>
      <c r="K44" s="131"/>
      <c r="L44" s="131"/>
      <c r="M44" s="2172" t="str">
        <f>'RECAP APBD'!E44</f>
        <v>Pengguna Anggaran</v>
      </c>
      <c r="N44" s="2172"/>
      <c r="O44" s="2172"/>
      <c r="P44" s="2173"/>
      <c r="Q44" s="2020"/>
      <c r="R44" s="144"/>
      <c r="S44" s="144"/>
      <c r="T44" s="144"/>
    </row>
    <row r="45" spans="2:20" ht="12.95" customHeight="1" x14ac:dyDescent="0.2">
      <c r="B45" s="170"/>
      <c r="C45" s="131"/>
      <c r="D45" s="131"/>
      <c r="E45" s="131"/>
      <c r="F45" s="131"/>
      <c r="G45" s="131"/>
      <c r="H45" s="131"/>
      <c r="I45" s="131"/>
      <c r="J45" s="131"/>
      <c r="K45" s="131"/>
      <c r="L45" s="131"/>
      <c r="M45" s="2172" t="str">
        <f>'RECAP APBD'!E45</f>
        <v>Satuan Kerja Perangkat Daerah</v>
      </c>
      <c r="N45" s="2172"/>
      <c r="O45" s="2172"/>
      <c r="P45" s="2173"/>
      <c r="Q45" s="2020"/>
      <c r="R45" s="730"/>
      <c r="S45" s="730"/>
      <c r="T45" s="730"/>
    </row>
    <row r="46" spans="2:20" ht="12.95" customHeight="1" x14ac:dyDescent="0.2">
      <c r="B46" s="170"/>
      <c r="C46" s="131"/>
      <c r="D46" s="131"/>
      <c r="E46" s="131"/>
      <c r="F46" s="131"/>
      <c r="G46" s="131"/>
      <c r="H46" s="131"/>
      <c r="I46" s="131"/>
      <c r="J46" s="131"/>
      <c r="K46" s="131"/>
      <c r="L46" s="131"/>
      <c r="M46" s="701"/>
      <c r="N46" s="144"/>
      <c r="O46" s="144"/>
      <c r="P46" s="189"/>
      <c r="Q46" s="144"/>
      <c r="R46" s="730"/>
      <c r="S46" s="730"/>
      <c r="T46" s="730"/>
    </row>
    <row r="47" spans="2:20" ht="12.95" customHeight="1" x14ac:dyDescent="0.2">
      <c r="B47" s="170"/>
      <c r="C47" s="131"/>
      <c r="D47" s="131"/>
      <c r="E47" s="131"/>
      <c r="F47" s="131"/>
      <c r="G47" s="131"/>
      <c r="H47" s="131"/>
      <c r="I47" s="131"/>
      <c r="J47" s="131"/>
      <c r="K47" s="131"/>
      <c r="L47" s="131"/>
      <c r="M47" s="1055"/>
      <c r="N47" s="1055"/>
      <c r="O47" s="1055"/>
      <c r="P47" s="1056"/>
      <c r="Q47" s="1055"/>
      <c r="R47" s="730"/>
      <c r="S47" s="730"/>
      <c r="T47" s="730"/>
    </row>
    <row r="48" spans="2:20" ht="12.95" customHeight="1" x14ac:dyDescent="0.2">
      <c r="B48" s="170"/>
      <c r="C48" s="131"/>
      <c r="D48" s="131"/>
      <c r="E48" s="131"/>
      <c r="F48" s="131"/>
      <c r="G48" s="131"/>
      <c r="H48" s="131"/>
      <c r="I48" s="131"/>
      <c r="J48" s="131"/>
      <c r="K48" s="131"/>
      <c r="L48" s="131"/>
      <c r="M48" s="2172" t="str">
        <f>'RECAP APBD'!E48</f>
        <v>Bustami, SH</v>
      </c>
      <c r="N48" s="2172"/>
      <c r="O48" s="2172"/>
      <c r="P48" s="2173"/>
      <c r="Q48" s="2020"/>
      <c r="R48" s="730"/>
      <c r="S48" s="730"/>
      <c r="T48" s="730"/>
    </row>
    <row r="49" spans="2:20" ht="12.95" customHeight="1" x14ac:dyDescent="0.2">
      <c r="B49" s="731"/>
      <c r="C49" s="732"/>
      <c r="D49" s="732"/>
      <c r="E49" s="732"/>
      <c r="F49" s="732"/>
      <c r="G49" s="732"/>
      <c r="H49" s="732"/>
      <c r="I49" s="732"/>
      <c r="J49" s="732"/>
      <c r="K49" s="732"/>
      <c r="L49" s="732"/>
      <c r="M49" s="2573" t="str">
        <f>'RECAP APBD'!E49</f>
        <v>Pembina Utama Muda / Nip. 19630824 198703 1 004</v>
      </c>
      <c r="N49" s="2573"/>
      <c r="O49" s="2573"/>
      <c r="P49" s="2574"/>
      <c r="Q49" s="2033"/>
      <c r="R49" s="144"/>
      <c r="S49" s="148"/>
      <c r="T49" s="148"/>
    </row>
    <row r="50" spans="2:20" ht="12.95" customHeight="1" x14ac:dyDescent="0.2">
      <c r="B50" s="2501" t="s">
        <v>140</v>
      </c>
      <c r="C50" s="2502"/>
      <c r="D50" s="2502"/>
      <c r="E50" s="2502"/>
      <c r="F50" s="2502"/>
      <c r="G50" s="2502"/>
      <c r="H50" s="2502"/>
      <c r="I50" s="2502"/>
      <c r="J50" s="2502"/>
      <c r="K50" s="2502"/>
      <c r="L50" s="2502"/>
      <c r="M50" s="2513"/>
      <c r="N50" s="2513"/>
      <c r="O50" s="2513"/>
      <c r="P50" s="2514"/>
      <c r="Q50" s="571"/>
      <c r="R50" s="144"/>
      <c r="S50" s="144"/>
      <c r="T50" s="144"/>
    </row>
    <row r="51" spans="2:20" ht="12.95" customHeight="1" x14ac:dyDescent="0.2">
      <c r="B51" s="2501" t="s">
        <v>22</v>
      </c>
      <c r="C51" s="2502"/>
      <c r="D51" s="2502"/>
      <c r="E51" s="2502"/>
      <c r="F51" s="2502"/>
      <c r="G51" s="2502"/>
      <c r="H51" s="2502"/>
      <c r="I51" s="2502"/>
      <c r="J51" s="2502"/>
      <c r="K51" s="2502"/>
      <c r="L51" s="2502"/>
      <c r="M51" s="251"/>
      <c r="N51" s="2508"/>
      <c r="O51" s="2508"/>
      <c r="P51" s="2509"/>
      <c r="Q51" s="1490"/>
    </row>
    <row r="52" spans="2:20" ht="12.95" customHeight="1" x14ac:dyDescent="0.2">
      <c r="B52" s="2501" t="s">
        <v>21</v>
      </c>
      <c r="C52" s="2502"/>
      <c r="D52" s="2502"/>
      <c r="E52" s="2502"/>
      <c r="F52" s="2502"/>
      <c r="G52" s="2502"/>
      <c r="H52" s="2502"/>
      <c r="I52" s="2502"/>
      <c r="J52" s="2502"/>
      <c r="K52" s="2502"/>
      <c r="L52" s="2502"/>
      <c r="M52" s="251"/>
      <c r="N52" s="2503"/>
      <c r="O52" s="2503"/>
      <c r="P52" s="2504"/>
      <c r="Q52" s="2034"/>
    </row>
    <row r="53" spans="2:20" ht="12.95" customHeight="1" x14ac:dyDescent="0.2">
      <c r="B53" s="2501" t="s">
        <v>204</v>
      </c>
      <c r="C53" s="2502"/>
      <c r="D53" s="2502"/>
      <c r="E53" s="2502"/>
      <c r="F53" s="2502"/>
      <c r="G53" s="2502"/>
      <c r="H53" s="2502"/>
      <c r="I53" s="2502"/>
      <c r="J53" s="2502"/>
      <c r="K53" s="2502"/>
      <c r="L53" s="2502"/>
      <c r="M53" s="2502"/>
      <c r="N53" s="2502"/>
      <c r="O53" s="2502"/>
      <c r="P53" s="2505"/>
      <c r="Q53" s="572"/>
    </row>
    <row r="54" spans="2:20" ht="12.95" customHeight="1" x14ac:dyDescent="0.2">
      <c r="B54" s="2501" t="s">
        <v>205</v>
      </c>
      <c r="C54" s="2502"/>
      <c r="D54" s="2502"/>
      <c r="E54" s="2502"/>
      <c r="F54" s="2502"/>
      <c r="G54" s="2502"/>
      <c r="H54" s="2502"/>
      <c r="I54" s="2502"/>
      <c r="J54" s="2502"/>
      <c r="K54" s="2502"/>
      <c r="L54" s="2502"/>
      <c r="M54" s="2502"/>
      <c r="N54" s="2502"/>
      <c r="O54" s="2502"/>
      <c r="P54" s="2505"/>
      <c r="Q54" s="572"/>
    </row>
    <row r="55" spans="2:20" ht="12.95" customHeight="1" thickBot="1" x14ac:dyDescent="0.25">
      <c r="B55" s="2517" t="s">
        <v>206</v>
      </c>
      <c r="C55" s="2518"/>
      <c r="D55" s="2518"/>
      <c r="E55" s="2518"/>
      <c r="F55" s="2518"/>
      <c r="G55" s="2518"/>
      <c r="H55" s="2518"/>
      <c r="I55" s="2518"/>
      <c r="J55" s="2518"/>
      <c r="K55" s="2518"/>
      <c r="L55" s="2518"/>
      <c r="M55" s="2518"/>
      <c r="N55" s="2518"/>
      <c r="O55" s="2518"/>
      <c r="P55" s="2519"/>
      <c r="Q55" s="572"/>
    </row>
    <row r="56" spans="2:20" ht="12.95" customHeight="1" thickTop="1" x14ac:dyDescent="0.2">
      <c r="B56" s="2523" t="s">
        <v>25</v>
      </c>
      <c r="C56" s="2524"/>
      <c r="D56" s="2524"/>
      <c r="E56" s="2524"/>
      <c r="F56" s="2524"/>
      <c r="G56" s="2524"/>
      <c r="H56" s="2524"/>
      <c r="I56" s="2524"/>
      <c r="J56" s="2524"/>
      <c r="K56" s="2524"/>
      <c r="L56" s="2524"/>
      <c r="M56" s="2524"/>
      <c r="N56" s="2524"/>
      <c r="O56" s="2524"/>
      <c r="P56" s="2525"/>
      <c r="Q56" s="2023"/>
    </row>
    <row r="57" spans="2:20" ht="12.95" customHeight="1" thickBot="1" x14ac:dyDescent="0.25">
      <c r="B57" s="2526" t="s">
        <v>207</v>
      </c>
      <c r="C57" s="2527"/>
      <c r="D57" s="2528" t="s">
        <v>208</v>
      </c>
      <c r="E57" s="2529"/>
      <c r="F57" s="2529"/>
      <c r="G57" s="2529"/>
      <c r="H57" s="2529"/>
      <c r="I57" s="2529"/>
      <c r="J57" s="2529"/>
      <c r="K57" s="2529"/>
      <c r="L57" s="2530"/>
      <c r="M57" s="2531" t="s">
        <v>209</v>
      </c>
      <c r="N57" s="2530"/>
      <c r="O57" s="4" t="s">
        <v>210</v>
      </c>
      <c r="P57" s="92" t="s">
        <v>211</v>
      </c>
      <c r="Q57" s="2027"/>
    </row>
    <row r="58" spans="2:20" ht="12.95" customHeight="1" thickTop="1" x14ac:dyDescent="0.2">
      <c r="B58" s="2535">
        <v>1</v>
      </c>
      <c r="C58" s="2536"/>
      <c r="D58" s="2532"/>
      <c r="E58" s="2533"/>
      <c r="F58" s="2533"/>
      <c r="G58" s="2533"/>
      <c r="H58" s="2533"/>
      <c r="I58" s="2533"/>
      <c r="J58" s="2533"/>
      <c r="K58" s="2533"/>
      <c r="L58" s="2534"/>
      <c r="M58" s="2538"/>
      <c r="N58" s="2539"/>
      <c r="O58" s="1073"/>
      <c r="P58" s="1177" t="s">
        <v>10</v>
      </c>
      <c r="Q58" s="1257"/>
    </row>
    <row r="59" spans="2:20" ht="12.95" customHeight="1" x14ac:dyDescent="0.2">
      <c r="B59" s="2522">
        <v>2</v>
      </c>
      <c r="C59" s="2240"/>
      <c r="D59" s="1116"/>
      <c r="E59" s="1117"/>
      <c r="F59" s="1117"/>
      <c r="G59" s="1117"/>
      <c r="H59" s="1117"/>
      <c r="I59" s="1117"/>
      <c r="J59" s="1117"/>
      <c r="K59" s="1117"/>
      <c r="L59" s="1118"/>
      <c r="M59" s="2442"/>
      <c r="N59" s="2247"/>
      <c r="O59" s="1085"/>
      <c r="P59" s="1177" t="s">
        <v>11</v>
      </c>
      <c r="Q59" s="1257"/>
    </row>
    <row r="60" spans="2:20" ht="12.95" customHeight="1" x14ac:dyDescent="0.2">
      <c r="B60" s="2522">
        <v>3</v>
      </c>
      <c r="C60" s="2240"/>
      <c r="D60" s="1116"/>
      <c r="E60" s="1117"/>
      <c r="F60" s="1117"/>
      <c r="G60" s="1117"/>
      <c r="H60" s="1117"/>
      <c r="I60" s="1117"/>
      <c r="J60" s="1117"/>
      <c r="K60" s="1117"/>
      <c r="L60" s="1118"/>
      <c r="M60" s="2442"/>
      <c r="N60" s="2247"/>
      <c r="O60" s="1085"/>
      <c r="P60" s="1177" t="s">
        <v>12</v>
      </c>
      <c r="Q60" s="1257"/>
    </row>
    <row r="61" spans="2:20" ht="12.95" customHeight="1" x14ac:dyDescent="0.2">
      <c r="B61" s="2522">
        <v>4</v>
      </c>
      <c r="C61" s="2240"/>
      <c r="D61" s="1116"/>
      <c r="E61" s="1117"/>
      <c r="F61" s="1117"/>
      <c r="G61" s="1117"/>
      <c r="H61" s="1117"/>
      <c r="I61" s="1117"/>
      <c r="J61" s="1117"/>
      <c r="K61" s="1117"/>
      <c r="L61" s="1118"/>
      <c r="M61" s="2443"/>
      <c r="N61" s="2253"/>
      <c r="O61" s="1085"/>
      <c r="P61" s="1177" t="s">
        <v>13</v>
      </c>
      <c r="Q61" s="1257"/>
    </row>
    <row r="62" spans="2:20" ht="12.95" customHeight="1" x14ac:dyDescent="0.2">
      <c r="B62" s="2522">
        <v>5</v>
      </c>
      <c r="C62" s="2240"/>
      <c r="D62" s="1116"/>
      <c r="E62" s="1117"/>
      <c r="F62" s="1117"/>
      <c r="G62" s="1117"/>
      <c r="H62" s="1117"/>
      <c r="I62" s="1117"/>
      <c r="J62" s="1117"/>
      <c r="K62" s="1117"/>
      <c r="L62" s="1118"/>
      <c r="M62" s="2443"/>
      <c r="N62" s="2253"/>
      <c r="O62" s="1085"/>
      <c r="P62" s="1177" t="s">
        <v>14</v>
      </c>
      <c r="Q62" s="1257"/>
    </row>
    <row r="63" spans="2:20" ht="12.95" customHeight="1" x14ac:dyDescent="0.2">
      <c r="B63" s="2522">
        <v>6</v>
      </c>
      <c r="C63" s="2240"/>
      <c r="D63" s="1116"/>
      <c r="E63" s="1117"/>
      <c r="F63" s="1117"/>
      <c r="G63" s="1117"/>
      <c r="H63" s="1117"/>
      <c r="I63" s="1117"/>
      <c r="J63" s="1117"/>
      <c r="K63" s="1117"/>
      <c r="L63" s="1118"/>
      <c r="M63" s="2443"/>
      <c r="N63" s="2253"/>
      <c r="O63" s="1085"/>
      <c r="P63" s="1178" t="s">
        <v>42</v>
      </c>
      <c r="Q63" s="2052"/>
    </row>
    <row r="64" spans="2:20" ht="12.95" customHeight="1" thickBot="1" x14ac:dyDescent="0.25">
      <c r="B64" s="2520">
        <v>7</v>
      </c>
      <c r="C64" s="2521"/>
      <c r="D64" s="1119"/>
      <c r="E64" s="1120"/>
      <c r="F64" s="1120"/>
      <c r="G64" s="1120"/>
      <c r="H64" s="1120"/>
      <c r="I64" s="1120"/>
      <c r="J64" s="1120"/>
      <c r="K64" s="1120"/>
      <c r="L64" s="1121"/>
      <c r="M64" s="2537"/>
      <c r="N64" s="2300"/>
      <c r="O64" s="1061"/>
      <c r="P64" s="1179" t="s">
        <v>487</v>
      </c>
      <c r="Q64" s="2053"/>
    </row>
    <row r="65" ht="17.100000000000001" customHeight="1" thickTop="1" x14ac:dyDescent="0.2"/>
  </sheetData>
  <mergeCells count="83">
    <mergeCell ref="B21:P21"/>
    <mergeCell ref="M45:P45"/>
    <mergeCell ref="B64:C64"/>
    <mergeCell ref="B63:C63"/>
    <mergeCell ref="B62:C62"/>
    <mergeCell ref="B22:P22"/>
    <mergeCell ref="B23:P23"/>
    <mergeCell ref="B24:P24"/>
    <mergeCell ref="B25:K25"/>
    <mergeCell ref="L25:L28"/>
    <mergeCell ref="M25:O25"/>
    <mergeCell ref="B26:K26"/>
    <mergeCell ref="M26:M28"/>
    <mergeCell ref="N26:N28"/>
    <mergeCell ref="O26:O28"/>
    <mergeCell ref="B27:K27"/>
    <mergeCell ref="F2:O2"/>
    <mergeCell ref="P2:P3"/>
    <mergeCell ref="F3:O3"/>
    <mergeCell ref="B4:O4"/>
    <mergeCell ref="P4:P5"/>
    <mergeCell ref="B5:O5"/>
    <mergeCell ref="B7:K7"/>
    <mergeCell ref="M7:P7"/>
    <mergeCell ref="B8:K8"/>
    <mergeCell ref="B6:K6"/>
    <mergeCell ref="M6:P6"/>
    <mergeCell ref="B9:K9"/>
    <mergeCell ref="B11:K11"/>
    <mergeCell ref="L11:P11"/>
    <mergeCell ref="M9:P9"/>
    <mergeCell ref="M10:P10"/>
    <mergeCell ref="B12:K12"/>
    <mergeCell ref="B13:K13"/>
    <mergeCell ref="B14:K14"/>
    <mergeCell ref="B15:P15"/>
    <mergeCell ref="B16:K16"/>
    <mergeCell ref="L16:N16"/>
    <mergeCell ref="O16:P16"/>
    <mergeCell ref="B17:K17"/>
    <mergeCell ref="L17:N17"/>
    <mergeCell ref="O17:P17"/>
    <mergeCell ref="B18:K18"/>
    <mergeCell ref="L18:N18"/>
    <mergeCell ref="O18:P18"/>
    <mergeCell ref="B19:K19"/>
    <mergeCell ref="L19:N19"/>
    <mergeCell ref="O19:P19"/>
    <mergeCell ref="B20:K20"/>
    <mergeCell ref="L20:N20"/>
    <mergeCell ref="O20:P20"/>
    <mergeCell ref="B28:K28"/>
    <mergeCell ref="B29:K29"/>
    <mergeCell ref="M44:P44"/>
    <mergeCell ref="M43:P43"/>
    <mergeCell ref="B56:P56"/>
    <mergeCell ref="B50:L50"/>
    <mergeCell ref="B51:L51"/>
    <mergeCell ref="N51:P51"/>
    <mergeCell ref="B52:L52"/>
    <mergeCell ref="B55:P55"/>
    <mergeCell ref="M48:P48"/>
    <mergeCell ref="M41:O41"/>
    <mergeCell ref="B61:C61"/>
    <mergeCell ref="B60:C60"/>
    <mergeCell ref="B58:C58"/>
    <mergeCell ref="B59:C59"/>
    <mergeCell ref="D58:L58"/>
    <mergeCell ref="B57:C57"/>
    <mergeCell ref="M49:P49"/>
    <mergeCell ref="B54:P54"/>
    <mergeCell ref="B53:P53"/>
    <mergeCell ref="N52:P52"/>
    <mergeCell ref="M50:P50"/>
    <mergeCell ref="D57:L57"/>
    <mergeCell ref="M57:N57"/>
    <mergeCell ref="M63:N63"/>
    <mergeCell ref="M64:N64"/>
    <mergeCell ref="M58:N58"/>
    <mergeCell ref="M59:N59"/>
    <mergeCell ref="M60:N60"/>
    <mergeCell ref="M61:N61"/>
    <mergeCell ref="M62:N62"/>
  </mergeCells>
  <phoneticPr fontId="14" type="noConversion"/>
  <pageMargins left="0.48" right="0.23622047244094491" top="0.48" bottom="0.6692913385826772" header="0.56000000000000005" footer="0.51181102362204722"/>
  <pageSetup paperSize="5" scale="80" orientation="portrait" horizontalDpi="4294967294"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B1:AR130"/>
  <sheetViews>
    <sheetView view="pageBreakPreview" topLeftCell="I16" zoomScale="70" zoomScaleNormal="115" zoomScaleSheetLayoutView="70" workbookViewId="0">
      <selection activeCell="O32" sqref="O32"/>
    </sheetView>
  </sheetViews>
  <sheetFormatPr defaultColWidth="8.7109375" defaultRowHeight="12.75" x14ac:dyDescent="0.2"/>
  <cols>
    <col min="1" max="1" width="6.140625" style="715" customWidth="1"/>
    <col min="2" max="11" width="2.7109375" style="715" customWidth="1"/>
    <col min="12" max="12" width="47.5703125" style="715" customWidth="1"/>
    <col min="13" max="13" width="12.140625" style="715" customWidth="1"/>
    <col min="14" max="14" width="8.5703125" style="715" customWidth="1"/>
    <col min="15" max="15" width="13.5703125" style="715" customWidth="1"/>
    <col min="16" max="17" width="16.5703125" style="715" customWidth="1"/>
    <col min="18" max="18" width="14.42578125" style="715" customWidth="1"/>
    <col min="19" max="22" width="14.7109375" style="715" customWidth="1"/>
    <col min="23" max="27" width="28.7109375" style="715" customWidth="1"/>
    <col min="28" max="28" width="8.7109375" style="715"/>
    <col min="29" max="29" width="24.28515625" style="715" customWidth="1"/>
    <col min="30" max="30" width="4.5703125" style="715" customWidth="1"/>
    <col min="31" max="31" width="8.7109375" style="715"/>
    <col min="32" max="32" width="7" style="715" customWidth="1"/>
    <col min="33" max="33" width="12.5703125" style="715" customWidth="1"/>
    <col min="34" max="37" width="8.7109375" style="715"/>
    <col min="38" max="38" width="33.7109375" style="715" customWidth="1"/>
    <col min="39"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451</v>
      </c>
      <c r="C6" s="2463"/>
      <c r="D6" s="2463"/>
      <c r="E6" s="2463"/>
      <c r="F6" s="2463"/>
      <c r="G6" s="2463"/>
      <c r="H6" s="2463"/>
      <c r="I6" s="2463"/>
      <c r="J6" s="2463"/>
      <c r="K6" s="2463"/>
      <c r="L6" s="713" t="s">
        <v>442</v>
      </c>
      <c r="M6" s="2213" t="s">
        <v>437</v>
      </c>
      <c r="N6" s="2213"/>
      <c r="O6" s="2213"/>
      <c r="P6" s="2214"/>
      <c r="Q6" s="296"/>
    </row>
    <row r="7" spans="2:17" ht="12.95" customHeight="1" x14ac:dyDescent="0.2">
      <c r="B7" s="2471" t="s">
        <v>19</v>
      </c>
      <c r="C7" s="2355"/>
      <c r="D7" s="2355"/>
      <c r="E7" s="2355"/>
      <c r="F7" s="2355"/>
      <c r="G7" s="2355"/>
      <c r="H7" s="2355"/>
      <c r="I7" s="2355"/>
      <c r="J7" s="2355"/>
      <c r="K7" s="2355"/>
      <c r="L7" s="700" t="s">
        <v>441</v>
      </c>
      <c r="M7" s="2541" t="s">
        <v>466</v>
      </c>
      <c r="N7" s="2541"/>
      <c r="O7" s="2541"/>
      <c r="P7" s="2542"/>
      <c r="Q7" s="512"/>
    </row>
    <row r="8" spans="2:17" ht="12.95" customHeight="1" x14ac:dyDescent="0.2">
      <c r="B8" s="2471" t="s">
        <v>32</v>
      </c>
      <c r="C8" s="2355"/>
      <c r="D8" s="2355"/>
      <c r="E8" s="2355"/>
      <c r="F8" s="2355"/>
      <c r="G8" s="2355"/>
      <c r="H8" s="2355"/>
      <c r="I8" s="2355"/>
      <c r="J8" s="2355"/>
      <c r="K8" s="2355"/>
      <c r="L8" s="700" t="s">
        <v>443</v>
      </c>
      <c r="M8" s="29" t="s">
        <v>124</v>
      </c>
      <c r="N8" s="30"/>
      <c r="O8" s="30"/>
      <c r="P8" s="75"/>
      <c r="Q8" s="2054"/>
    </row>
    <row r="9" spans="2:17" s="717" customFormat="1" ht="27.95" customHeight="1" x14ac:dyDescent="0.2">
      <c r="B9" s="2302" t="s">
        <v>20</v>
      </c>
      <c r="C9" s="2303"/>
      <c r="D9" s="2303"/>
      <c r="E9" s="2303"/>
      <c r="F9" s="2303"/>
      <c r="G9" s="2303"/>
      <c r="H9" s="2303"/>
      <c r="I9" s="2303"/>
      <c r="J9" s="2303"/>
      <c r="K9" s="2303"/>
      <c r="L9" s="453" t="s">
        <v>452</v>
      </c>
      <c r="M9" s="2593" t="s">
        <v>1062</v>
      </c>
      <c r="N9" s="2593"/>
      <c r="O9" s="2593"/>
      <c r="P9" s="2594"/>
      <c r="Q9" s="2084"/>
    </row>
    <row r="10" spans="2:17" s="717" customFormat="1" ht="12.95" customHeight="1" x14ac:dyDescent="0.2">
      <c r="B10" s="711"/>
      <c r="C10" s="712"/>
      <c r="D10" s="712"/>
      <c r="E10" s="712"/>
      <c r="F10" s="712"/>
      <c r="G10" s="712"/>
      <c r="H10" s="712"/>
      <c r="I10" s="712"/>
      <c r="J10" s="712"/>
      <c r="K10" s="712"/>
      <c r="L10" s="700"/>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584760000</v>
      </c>
      <c r="M12" s="35"/>
      <c r="N12" s="35"/>
      <c r="O12" s="35"/>
      <c r="P12" s="77"/>
      <c r="Q12" s="2045"/>
    </row>
    <row r="13" spans="2:17" ht="12.95" customHeight="1" x14ac:dyDescent="0.2">
      <c r="B13" s="2471" t="s">
        <v>223</v>
      </c>
      <c r="C13" s="2355"/>
      <c r="D13" s="2355"/>
      <c r="E13" s="2355"/>
      <c r="F13" s="2355"/>
      <c r="G13" s="2355"/>
      <c r="H13" s="2355"/>
      <c r="I13" s="2355"/>
      <c r="J13" s="2355"/>
      <c r="K13" s="2355"/>
      <c r="L13" s="152">
        <f>P30</f>
        <v>874860000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918603000</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42" ht="26.1" customHeight="1" x14ac:dyDescent="0.2">
      <c r="B17" s="2584" t="s">
        <v>37</v>
      </c>
      <c r="C17" s="2585"/>
      <c r="D17" s="2585"/>
      <c r="E17" s="2585"/>
      <c r="F17" s="2585"/>
      <c r="G17" s="2585"/>
      <c r="H17" s="2585"/>
      <c r="I17" s="2585"/>
      <c r="J17" s="2585"/>
      <c r="K17" s="2586"/>
      <c r="L17" s="2228" t="s">
        <v>708</v>
      </c>
      <c r="M17" s="2228"/>
      <c r="N17" s="2577"/>
      <c r="O17" s="2589">
        <v>1</v>
      </c>
      <c r="P17" s="2590"/>
      <c r="Q17" s="2025"/>
    </row>
    <row r="18" spans="2:42" ht="12.95" customHeight="1" x14ac:dyDescent="0.2">
      <c r="B18" s="2454" t="s">
        <v>228</v>
      </c>
      <c r="C18" s="2286"/>
      <c r="D18" s="2286"/>
      <c r="E18" s="2286"/>
      <c r="F18" s="2286"/>
      <c r="G18" s="2286"/>
      <c r="H18" s="2286"/>
      <c r="I18" s="2286"/>
      <c r="J18" s="2286"/>
      <c r="K18" s="2455"/>
      <c r="L18" s="2228" t="s">
        <v>287</v>
      </c>
      <c r="M18" s="2228"/>
      <c r="N18" s="2577"/>
      <c r="O18" s="2459">
        <f>P30</f>
        <v>874860000</v>
      </c>
      <c r="P18" s="2460"/>
      <c r="Q18" s="2028"/>
    </row>
    <row r="19" spans="2:42" ht="26.45" customHeight="1" x14ac:dyDescent="0.2">
      <c r="B19" s="2584" t="s">
        <v>229</v>
      </c>
      <c r="C19" s="2585"/>
      <c r="D19" s="2585"/>
      <c r="E19" s="2585"/>
      <c r="F19" s="2585"/>
      <c r="G19" s="2585"/>
      <c r="H19" s="2585"/>
      <c r="I19" s="2585"/>
      <c r="J19" s="2585"/>
      <c r="K19" s="2586"/>
      <c r="L19" s="2228" t="s">
        <v>687</v>
      </c>
      <c r="M19" s="2228"/>
      <c r="N19" s="2577"/>
      <c r="O19" s="2589" t="s">
        <v>255</v>
      </c>
      <c r="P19" s="2590"/>
      <c r="Q19" s="2025"/>
    </row>
    <row r="20" spans="2:42" ht="12.95" customHeight="1" x14ac:dyDescent="0.2">
      <c r="B20" s="2454" t="s">
        <v>230</v>
      </c>
      <c r="C20" s="2286"/>
      <c r="D20" s="2286"/>
      <c r="E20" s="2286"/>
      <c r="F20" s="2286"/>
      <c r="G20" s="2286"/>
      <c r="H20" s="2286"/>
      <c r="I20" s="2286"/>
      <c r="J20" s="2286"/>
      <c r="K20" s="2455"/>
      <c r="L20" s="2228" t="s">
        <v>700</v>
      </c>
      <c r="M20" s="2228"/>
      <c r="N20" s="2577"/>
      <c r="O20" s="2474">
        <v>1</v>
      </c>
      <c r="P20" s="2229"/>
      <c r="Q20" s="2028"/>
    </row>
    <row r="21" spans="2:42" ht="6.95" customHeight="1" x14ac:dyDescent="0.2">
      <c r="B21" s="2445"/>
      <c r="C21" s="2446"/>
      <c r="D21" s="2446"/>
      <c r="E21" s="2446"/>
      <c r="F21" s="2446"/>
      <c r="G21" s="2446"/>
      <c r="H21" s="2446"/>
      <c r="I21" s="2446"/>
      <c r="J21" s="2446"/>
      <c r="K21" s="2446"/>
      <c r="L21" s="2446"/>
      <c r="M21" s="2446"/>
      <c r="N21" s="2446"/>
      <c r="O21" s="2446"/>
      <c r="P21" s="2447"/>
      <c r="Q21" s="2046"/>
    </row>
    <row r="22" spans="2:42" ht="12.95" customHeight="1" x14ac:dyDescent="0.2">
      <c r="B22" s="2215" t="s">
        <v>288</v>
      </c>
      <c r="C22" s="2216"/>
      <c r="D22" s="2216"/>
      <c r="E22" s="2216"/>
      <c r="F22" s="2216"/>
      <c r="G22" s="2216"/>
      <c r="H22" s="2216"/>
      <c r="I22" s="2216"/>
      <c r="J22" s="2216"/>
      <c r="K22" s="2216"/>
      <c r="L22" s="2216"/>
      <c r="M22" s="2216"/>
      <c r="N22" s="2216"/>
      <c r="O22" s="2216"/>
      <c r="P22" s="2486"/>
      <c r="Q22" s="2022"/>
    </row>
    <row r="23" spans="2:42" ht="12.95" customHeight="1" x14ac:dyDescent="0.2">
      <c r="B23" s="2487" t="s">
        <v>231</v>
      </c>
      <c r="C23" s="2488"/>
      <c r="D23" s="2488"/>
      <c r="E23" s="2488"/>
      <c r="F23" s="2488"/>
      <c r="G23" s="2488"/>
      <c r="H23" s="2488"/>
      <c r="I23" s="2488"/>
      <c r="J23" s="2488"/>
      <c r="K23" s="2488"/>
      <c r="L23" s="2488"/>
      <c r="M23" s="2488"/>
      <c r="N23" s="2488"/>
      <c r="O23" s="2488"/>
      <c r="P23" s="2489"/>
      <c r="Q23" s="520"/>
    </row>
    <row r="24" spans="2:42" ht="12.95" customHeight="1" x14ac:dyDescent="0.2">
      <c r="B24" s="2490" t="s">
        <v>38</v>
      </c>
      <c r="C24" s="2491"/>
      <c r="D24" s="2491"/>
      <c r="E24" s="2491"/>
      <c r="F24" s="2491"/>
      <c r="G24" s="2491"/>
      <c r="H24" s="2491"/>
      <c r="I24" s="2491"/>
      <c r="J24" s="2491"/>
      <c r="K24" s="2491"/>
      <c r="L24" s="2491"/>
      <c r="M24" s="2491"/>
      <c r="N24" s="2491"/>
      <c r="O24" s="2491"/>
      <c r="P24" s="2492"/>
      <c r="Q24" s="520"/>
      <c r="AB24" s="1127"/>
      <c r="AC24" s="1128"/>
      <c r="AD24" s="1128"/>
    </row>
    <row r="25" spans="2:42" ht="12.95" customHeight="1" x14ac:dyDescent="0.2">
      <c r="B25" s="2493"/>
      <c r="C25" s="2264"/>
      <c r="D25" s="2264"/>
      <c r="E25" s="2264"/>
      <c r="F25" s="2264"/>
      <c r="G25" s="2264"/>
      <c r="H25" s="2264"/>
      <c r="I25" s="2264"/>
      <c r="J25" s="2264"/>
      <c r="K25" s="2494"/>
      <c r="L25" s="2495" t="s">
        <v>191</v>
      </c>
      <c r="M25" s="2498" t="s">
        <v>198</v>
      </c>
      <c r="N25" s="2499"/>
      <c r="O25" s="2500"/>
      <c r="P25" s="718"/>
      <c r="Q25" s="730"/>
      <c r="AB25" s="1129"/>
      <c r="AC25" s="1130"/>
      <c r="AD25" s="1130"/>
    </row>
    <row r="26" spans="2:42"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c r="AB26" s="1129"/>
      <c r="AC26" s="1130"/>
      <c r="AD26" s="1130"/>
      <c r="AE26" s="1131"/>
    </row>
    <row r="27" spans="2:42" ht="12.95" customHeight="1" x14ac:dyDescent="0.2">
      <c r="B27" s="2448" t="s">
        <v>197</v>
      </c>
      <c r="C27" s="2449"/>
      <c r="D27" s="2449"/>
      <c r="E27" s="2449"/>
      <c r="F27" s="2449"/>
      <c r="G27" s="2449"/>
      <c r="H27" s="2449"/>
      <c r="I27" s="2449"/>
      <c r="J27" s="2449"/>
      <c r="K27" s="2450"/>
      <c r="L27" s="2496"/>
      <c r="M27" s="2496"/>
      <c r="N27" s="2496"/>
      <c r="O27" s="2405"/>
      <c r="P27" s="78" t="s">
        <v>193</v>
      </c>
      <c r="Q27" s="2027"/>
      <c r="AB27" s="1132"/>
      <c r="AC27" s="1133"/>
      <c r="AD27" s="1133"/>
      <c r="AE27" s="1131"/>
    </row>
    <row r="28" spans="2:42" ht="12.95" customHeight="1" x14ac:dyDescent="0.2">
      <c r="B28" s="2451"/>
      <c r="C28" s="2452"/>
      <c r="D28" s="2452"/>
      <c r="E28" s="2452"/>
      <c r="F28" s="2452"/>
      <c r="G28" s="2452"/>
      <c r="H28" s="2452"/>
      <c r="I28" s="2452"/>
      <c r="J28" s="2452"/>
      <c r="K28" s="2453"/>
      <c r="L28" s="2497"/>
      <c r="M28" s="2497"/>
      <c r="N28" s="2497"/>
      <c r="O28" s="2406"/>
      <c r="P28" s="719"/>
      <c r="Q28" s="2047"/>
    </row>
    <row r="29" spans="2:42" ht="12.95" customHeight="1" thickBot="1" x14ac:dyDescent="0.25">
      <c r="B29" s="2483">
        <v>1</v>
      </c>
      <c r="C29" s="2484"/>
      <c r="D29" s="2484"/>
      <c r="E29" s="2484"/>
      <c r="F29" s="2484"/>
      <c r="G29" s="2484"/>
      <c r="H29" s="2484"/>
      <c r="I29" s="2484"/>
      <c r="J29" s="2484"/>
      <c r="K29" s="2485"/>
      <c r="L29" s="710">
        <v>2</v>
      </c>
      <c r="M29" s="710">
        <v>3</v>
      </c>
      <c r="N29" s="710">
        <v>4</v>
      </c>
      <c r="O29" s="12">
        <v>5</v>
      </c>
      <c r="P29" s="79" t="s">
        <v>24</v>
      </c>
      <c r="Q29" s="2027"/>
    </row>
    <row r="30" spans="2:42" ht="12.95" customHeight="1" thickTop="1" x14ac:dyDescent="0.2">
      <c r="B30" s="80">
        <v>1</v>
      </c>
      <c r="C30" s="33" t="s">
        <v>440</v>
      </c>
      <c r="D30" s="33" t="s">
        <v>142</v>
      </c>
      <c r="E30" s="709"/>
      <c r="F30" s="335"/>
      <c r="G30" s="706">
        <v>5</v>
      </c>
      <c r="H30" s="706">
        <v>2</v>
      </c>
      <c r="I30" s="706"/>
      <c r="J30" s="706"/>
      <c r="K30" s="706"/>
      <c r="L30" s="28" t="s">
        <v>108</v>
      </c>
      <c r="M30" s="16"/>
      <c r="N30" s="16"/>
      <c r="O30" s="18"/>
      <c r="P30" s="81">
        <f>P32</f>
        <v>874860000</v>
      </c>
      <c r="Q30" s="2065">
        <v>874860000</v>
      </c>
      <c r="R30" s="720">
        <f>L12</f>
        <v>584760000</v>
      </c>
      <c r="S30" s="720"/>
      <c r="T30" s="720"/>
      <c r="U30" s="720"/>
      <c r="V30" s="720"/>
      <c r="W30" s="720"/>
      <c r="X30" s="720"/>
      <c r="Y30" s="720"/>
      <c r="Z30" s="720"/>
      <c r="AA30" s="720"/>
      <c r="AB30" s="2599" t="s">
        <v>399</v>
      </c>
      <c r="AC30" s="2599"/>
      <c r="AD30" s="2599"/>
      <c r="AE30" s="2599"/>
      <c r="AN30" s="1127" t="s">
        <v>304</v>
      </c>
      <c r="AO30" s="1128"/>
      <c r="AP30" s="1128">
        <v>130</v>
      </c>
    </row>
    <row r="31" spans="2:42" ht="12.95" customHeight="1" x14ac:dyDescent="0.2">
      <c r="B31" s="80">
        <v>1</v>
      </c>
      <c r="C31" s="33" t="s">
        <v>440</v>
      </c>
      <c r="D31" s="33" t="s">
        <v>142</v>
      </c>
      <c r="E31" s="705" t="s">
        <v>142</v>
      </c>
      <c r="F31" s="46"/>
      <c r="G31" s="706"/>
      <c r="H31" s="706"/>
      <c r="I31" s="706"/>
      <c r="J31" s="706"/>
      <c r="K31" s="706"/>
      <c r="L31" s="25" t="s">
        <v>179</v>
      </c>
      <c r="M31" s="1412"/>
      <c r="N31" s="16"/>
      <c r="O31" s="18"/>
      <c r="P31" s="1876">
        <f>P32</f>
        <v>874860000</v>
      </c>
      <c r="Q31" s="2066"/>
      <c r="R31" s="721">
        <f>P31-R30</f>
        <v>290100000</v>
      </c>
      <c r="S31" s="721"/>
      <c r="T31" s="721"/>
      <c r="U31" s="721"/>
      <c r="V31" s="721"/>
      <c r="W31" s="721"/>
      <c r="X31" s="721"/>
      <c r="Y31" s="721"/>
      <c r="Z31" s="721"/>
      <c r="AA31" s="721"/>
      <c r="AB31" s="1106" t="s">
        <v>342</v>
      </c>
      <c r="AC31" s="1106"/>
      <c r="AD31" s="1106"/>
      <c r="AE31" s="1106">
        <v>2</v>
      </c>
      <c r="AN31" s="1129" t="s">
        <v>305</v>
      </c>
      <c r="AO31" s="1130"/>
      <c r="AP31" s="1130">
        <v>2</v>
      </c>
    </row>
    <row r="32" spans="2:42" ht="12.95" customHeight="1" x14ac:dyDescent="0.2">
      <c r="B32" s="80">
        <v>1</v>
      </c>
      <c r="C32" s="33" t="s">
        <v>440</v>
      </c>
      <c r="D32" s="33" t="s">
        <v>142</v>
      </c>
      <c r="E32" s="705" t="s">
        <v>142</v>
      </c>
      <c r="F32" s="47">
        <v>20</v>
      </c>
      <c r="G32" s="706"/>
      <c r="H32" s="706"/>
      <c r="I32" s="706"/>
      <c r="J32" s="706"/>
      <c r="K32" s="33"/>
      <c r="L32" s="25" t="s">
        <v>149</v>
      </c>
      <c r="M32" s="1412"/>
      <c r="N32" s="16"/>
      <c r="O32" s="18"/>
      <c r="P32" s="1876">
        <f>P35+P57</f>
        <v>874860000</v>
      </c>
      <c r="Q32" s="2066"/>
      <c r="AB32" s="1106"/>
      <c r="AC32" s="1106"/>
      <c r="AD32" s="1106"/>
      <c r="AE32" s="1106"/>
      <c r="AG32" s="715">
        <v>69</v>
      </c>
      <c r="AN32" s="1132" t="s">
        <v>324</v>
      </c>
      <c r="AO32" s="1133"/>
      <c r="AP32" s="1133">
        <v>32</v>
      </c>
    </row>
    <row r="33" spans="2:17" ht="12.95" customHeight="1" x14ac:dyDescent="0.2">
      <c r="B33" s="80"/>
      <c r="C33" s="33"/>
      <c r="D33" s="33"/>
      <c r="E33" s="705"/>
      <c r="F33" s="47"/>
      <c r="G33" s="706"/>
      <c r="H33" s="706"/>
      <c r="I33" s="706"/>
      <c r="J33" s="706"/>
      <c r="K33" s="33"/>
      <c r="L33" s="25" t="s">
        <v>150</v>
      </c>
      <c r="M33" s="1412"/>
      <c r="N33" s="16"/>
      <c r="O33" s="18"/>
      <c r="P33" s="1877"/>
      <c r="Q33" s="730"/>
    </row>
    <row r="34" spans="2:17" ht="12.95" customHeight="1" x14ac:dyDescent="0.2">
      <c r="B34" s="80"/>
      <c r="C34" s="33"/>
      <c r="D34" s="33"/>
      <c r="E34" s="705"/>
      <c r="F34" s="47"/>
      <c r="G34" s="706"/>
      <c r="H34" s="706"/>
      <c r="I34" s="706"/>
      <c r="J34" s="706"/>
      <c r="K34" s="33"/>
      <c r="L34" s="25"/>
      <c r="M34" s="1412"/>
      <c r="N34" s="16"/>
      <c r="O34" s="18"/>
      <c r="P34" s="1877"/>
      <c r="Q34" s="730"/>
    </row>
    <row r="35" spans="2:17" ht="12.95" customHeight="1" x14ac:dyDescent="0.2">
      <c r="B35" s="80">
        <v>1</v>
      </c>
      <c r="C35" s="33" t="s">
        <v>440</v>
      </c>
      <c r="D35" s="33" t="s">
        <v>142</v>
      </c>
      <c r="E35" s="1078" t="s">
        <v>142</v>
      </c>
      <c r="F35" s="47">
        <v>20</v>
      </c>
      <c r="G35" s="1079">
        <v>5</v>
      </c>
      <c r="H35" s="1079">
        <v>2</v>
      </c>
      <c r="I35" s="1079">
        <v>1</v>
      </c>
      <c r="J35" s="1079"/>
      <c r="K35" s="33"/>
      <c r="L35" s="25" t="s">
        <v>86</v>
      </c>
      <c r="M35" s="16"/>
      <c r="N35" s="16"/>
      <c r="O35" s="18"/>
      <c r="P35" s="1878">
        <f>P36+P51</f>
        <v>266700000</v>
      </c>
      <c r="Q35" s="2048"/>
    </row>
    <row r="36" spans="2:17" ht="12.95" customHeight="1" x14ac:dyDescent="0.2">
      <c r="B36" s="80">
        <v>1</v>
      </c>
      <c r="C36" s="33" t="s">
        <v>440</v>
      </c>
      <c r="D36" s="33" t="s">
        <v>142</v>
      </c>
      <c r="E36" s="1078" t="s">
        <v>142</v>
      </c>
      <c r="F36" s="47">
        <v>20</v>
      </c>
      <c r="G36" s="1079">
        <v>5</v>
      </c>
      <c r="H36" s="1079">
        <v>2</v>
      </c>
      <c r="I36" s="1079">
        <v>1</v>
      </c>
      <c r="J36" s="33" t="s">
        <v>142</v>
      </c>
      <c r="K36" s="33"/>
      <c r="L36" s="25" t="s">
        <v>126</v>
      </c>
      <c r="M36" s="16"/>
      <c r="N36" s="16"/>
      <c r="O36" s="18"/>
      <c r="P36" s="1878">
        <f>P37+P39+P41</f>
        <v>74700000</v>
      </c>
      <c r="Q36" s="2048"/>
    </row>
    <row r="37" spans="2:17" ht="12.95" customHeight="1" x14ac:dyDescent="0.2">
      <c r="B37" s="80">
        <v>1</v>
      </c>
      <c r="C37" s="33" t="s">
        <v>440</v>
      </c>
      <c r="D37" s="33" t="s">
        <v>142</v>
      </c>
      <c r="E37" s="1078" t="s">
        <v>142</v>
      </c>
      <c r="F37" s="47">
        <v>20</v>
      </c>
      <c r="G37" s="1079">
        <v>5</v>
      </c>
      <c r="H37" s="1079">
        <v>2</v>
      </c>
      <c r="I37" s="1079">
        <v>1</v>
      </c>
      <c r="J37" s="33" t="s">
        <v>142</v>
      </c>
      <c r="K37" s="33" t="s">
        <v>145</v>
      </c>
      <c r="L37" s="26" t="s">
        <v>278</v>
      </c>
      <c r="M37" s="1080"/>
      <c r="N37" s="1080"/>
      <c r="O37" s="119"/>
      <c r="P37" s="1878">
        <f>P38</f>
        <v>1800000</v>
      </c>
      <c r="Q37" s="2048"/>
    </row>
    <row r="38" spans="2:17" ht="27" customHeight="1" x14ac:dyDescent="0.2">
      <c r="B38" s="80"/>
      <c r="C38" s="33"/>
      <c r="D38" s="33"/>
      <c r="E38" s="60"/>
      <c r="F38" s="33"/>
      <c r="G38" s="1079"/>
      <c r="H38" s="1079"/>
      <c r="I38" s="1079"/>
      <c r="J38" s="1079"/>
      <c r="K38" s="33"/>
      <c r="L38" s="1125" t="s">
        <v>734</v>
      </c>
      <c r="M38" s="1651">
        <v>6</v>
      </c>
      <c r="N38" s="1651" t="s">
        <v>147</v>
      </c>
      <c r="O38" s="1126">
        <v>300000</v>
      </c>
      <c r="P38" s="1879">
        <f>M38*O38</f>
        <v>1800000</v>
      </c>
      <c r="Q38" s="2092"/>
    </row>
    <row r="39" spans="2:17" ht="12.95" customHeight="1" x14ac:dyDescent="0.2">
      <c r="B39" s="80">
        <v>1</v>
      </c>
      <c r="C39" s="33" t="s">
        <v>440</v>
      </c>
      <c r="D39" s="33" t="s">
        <v>142</v>
      </c>
      <c r="E39" s="1078" t="s">
        <v>142</v>
      </c>
      <c r="F39" s="47">
        <v>20</v>
      </c>
      <c r="G39" s="1079">
        <v>5</v>
      </c>
      <c r="H39" s="1079">
        <v>2</v>
      </c>
      <c r="I39" s="1079">
        <v>1</v>
      </c>
      <c r="J39" s="33" t="s">
        <v>142</v>
      </c>
      <c r="K39" s="33" t="s">
        <v>164</v>
      </c>
      <c r="L39" s="26" t="s">
        <v>1073</v>
      </c>
      <c r="M39" s="491"/>
      <c r="N39" s="491"/>
      <c r="O39" s="492"/>
      <c r="P39" s="1878">
        <f>P40</f>
        <v>1800000</v>
      </c>
      <c r="Q39" s="2048"/>
    </row>
    <row r="40" spans="2:17" ht="12.95" customHeight="1" x14ac:dyDescent="0.2">
      <c r="B40" s="80"/>
      <c r="C40" s="33"/>
      <c r="D40" s="33"/>
      <c r="E40" s="60"/>
      <c r="F40" s="33"/>
      <c r="G40" s="1079"/>
      <c r="H40" s="1079"/>
      <c r="I40" s="1079"/>
      <c r="J40" s="1079"/>
      <c r="K40" s="1079"/>
      <c r="L40" s="37" t="s">
        <v>735</v>
      </c>
      <c r="M40" s="1652">
        <v>6</v>
      </c>
      <c r="N40" s="1652" t="s">
        <v>147</v>
      </c>
      <c r="O40" s="1653">
        <v>300000</v>
      </c>
      <c r="P40" s="1880">
        <f>O40*M40</f>
        <v>1800000</v>
      </c>
      <c r="Q40" s="2079"/>
    </row>
    <row r="41" spans="2:17" ht="12.95" customHeight="1" x14ac:dyDescent="0.2">
      <c r="B41" s="80">
        <v>1</v>
      </c>
      <c r="C41" s="33" t="s">
        <v>440</v>
      </c>
      <c r="D41" s="33" t="s">
        <v>142</v>
      </c>
      <c r="E41" s="1078" t="s">
        <v>142</v>
      </c>
      <c r="F41" s="47">
        <v>20</v>
      </c>
      <c r="G41" s="1079">
        <v>5</v>
      </c>
      <c r="H41" s="1079">
        <v>2</v>
      </c>
      <c r="I41" s="1079">
        <v>1</v>
      </c>
      <c r="J41" s="33" t="s">
        <v>142</v>
      </c>
      <c r="K41" s="33" t="s">
        <v>181</v>
      </c>
      <c r="L41" s="26" t="s">
        <v>613</v>
      </c>
      <c r="M41" s="491"/>
      <c r="N41" s="491"/>
      <c r="O41" s="492"/>
      <c r="P41" s="1878">
        <f>SUM(P42:P49)</f>
        <v>71100000</v>
      </c>
      <c r="Q41" s="2048"/>
    </row>
    <row r="42" spans="2:17" ht="12.95" customHeight="1" x14ac:dyDescent="0.2">
      <c r="B42" s="80"/>
      <c r="C42" s="33"/>
      <c r="D42" s="33"/>
      <c r="E42" s="60"/>
      <c r="F42" s="33"/>
      <c r="G42" s="1079"/>
      <c r="H42" s="1079"/>
      <c r="I42" s="1079"/>
      <c r="J42" s="1079"/>
      <c r="K42" s="1079"/>
      <c r="L42" s="37" t="s">
        <v>1074</v>
      </c>
      <c r="M42" s="1652">
        <v>12</v>
      </c>
      <c r="N42" s="1652" t="s">
        <v>147</v>
      </c>
      <c r="O42" s="1653">
        <v>1200000</v>
      </c>
      <c r="P42" s="1880">
        <f>O42*M42</f>
        <v>14400000</v>
      </c>
      <c r="Q42" s="2079"/>
    </row>
    <row r="43" spans="2:17" ht="12.95" customHeight="1" x14ac:dyDescent="0.2">
      <c r="B43" s="80"/>
      <c r="C43" s="33"/>
      <c r="D43" s="33"/>
      <c r="E43" s="1952"/>
      <c r="F43" s="33"/>
      <c r="G43" s="1079"/>
      <c r="H43" s="1079"/>
      <c r="I43" s="1079"/>
      <c r="J43" s="1079"/>
      <c r="K43" s="1079"/>
      <c r="L43" s="37" t="s">
        <v>1075</v>
      </c>
      <c r="M43" s="1652">
        <v>12</v>
      </c>
      <c r="N43" s="1652" t="s">
        <v>147</v>
      </c>
      <c r="O43" s="1653">
        <v>800000</v>
      </c>
      <c r="P43" s="1880">
        <f t="shared" ref="P43:P49" si="0">O43*M43</f>
        <v>9600000</v>
      </c>
      <c r="Q43" s="2079"/>
    </row>
    <row r="44" spans="2:17" ht="12.95" customHeight="1" x14ac:dyDescent="0.2">
      <c r="B44" s="80"/>
      <c r="C44" s="33"/>
      <c r="D44" s="33"/>
      <c r="E44" s="1952"/>
      <c r="F44" s="33"/>
      <c r="G44" s="1079"/>
      <c r="H44" s="1079"/>
      <c r="I44" s="1079"/>
      <c r="J44" s="1079"/>
      <c r="K44" s="1079"/>
      <c r="L44" s="37" t="s">
        <v>1076</v>
      </c>
      <c r="M44" s="1652">
        <f>12*2</f>
        <v>24</v>
      </c>
      <c r="N44" s="1652" t="s">
        <v>147</v>
      </c>
      <c r="O44" s="1653">
        <v>500000</v>
      </c>
      <c r="P44" s="1880">
        <f t="shared" si="0"/>
        <v>12000000</v>
      </c>
      <c r="Q44" s="2079"/>
    </row>
    <row r="45" spans="2:17" ht="12.95" customHeight="1" x14ac:dyDescent="0.2">
      <c r="B45" s="80"/>
      <c r="C45" s="33"/>
      <c r="D45" s="33"/>
      <c r="E45" s="1952"/>
      <c r="F45" s="33"/>
      <c r="G45" s="1079"/>
      <c r="H45" s="1079"/>
      <c r="I45" s="1079"/>
      <c r="J45" s="1079"/>
      <c r="K45" s="1079"/>
      <c r="L45" s="37" t="s">
        <v>1077</v>
      </c>
      <c r="M45" s="1652">
        <v>12</v>
      </c>
      <c r="N45" s="1652" t="s">
        <v>147</v>
      </c>
      <c r="O45" s="1653">
        <v>750000</v>
      </c>
      <c r="P45" s="1880">
        <f t="shared" si="0"/>
        <v>9000000</v>
      </c>
      <c r="Q45" s="2079"/>
    </row>
    <row r="46" spans="2:17" ht="12.95" customHeight="1" x14ac:dyDescent="0.2">
      <c r="B46" s="80"/>
      <c r="C46" s="33"/>
      <c r="D46" s="33"/>
      <c r="E46" s="1952"/>
      <c r="F46" s="33"/>
      <c r="G46" s="1079"/>
      <c r="H46" s="1079"/>
      <c r="I46" s="1079"/>
      <c r="J46" s="1079"/>
      <c r="K46" s="1079"/>
      <c r="L46" s="37" t="s">
        <v>1078</v>
      </c>
      <c r="M46" s="1652">
        <f>12*2</f>
        <v>24</v>
      </c>
      <c r="N46" s="1652" t="s">
        <v>147</v>
      </c>
      <c r="O46" s="1653">
        <v>375000</v>
      </c>
      <c r="P46" s="1880">
        <f t="shared" si="0"/>
        <v>9000000</v>
      </c>
      <c r="Q46" s="2079"/>
    </row>
    <row r="47" spans="2:17" ht="12.95" customHeight="1" x14ac:dyDescent="0.2">
      <c r="B47" s="80"/>
      <c r="C47" s="33"/>
      <c r="D47" s="33"/>
      <c r="E47" s="1952"/>
      <c r="F47" s="33"/>
      <c r="G47" s="1079"/>
      <c r="H47" s="1079"/>
      <c r="I47" s="1079"/>
      <c r="J47" s="1079"/>
      <c r="K47" s="1079"/>
      <c r="L47" s="37" t="s">
        <v>1079</v>
      </c>
      <c r="M47" s="1652">
        <v>12</v>
      </c>
      <c r="N47" s="1652" t="s">
        <v>147</v>
      </c>
      <c r="O47" s="1653">
        <v>550000</v>
      </c>
      <c r="P47" s="1880">
        <f t="shared" si="0"/>
        <v>6600000</v>
      </c>
      <c r="Q47" s="2079"/>
    </row>
    <row r="48" spans="2:17" ht="12.95" customHeight="1" x14ac:dyDescent="0.2">
      <c r="B48" s="80"/>
      <c r="C48" s="33"/>
      <c r="D48" s="33"/>
      <c r="E48" s="1952"/>
      <c r="F48" s="33"/>
      <c r="G48" s="1079"/>
      <c r="H48" s="1079"/>
      <c r="I48" s="1079"/>
      <c r="J48" s="1079"/>
      <c r="K48" s="1079"/>
      <c r="L48" s="37" t="s">
        <v>1080</v>
      </c>
      <c r="M48" s="1652">
        <v>12</v>
      </c>
      <c r="N48" s="1652" t="s">
        <v>147</v>
      </c>
      <c r="O48" s="1653">
        <v>325000</v>
      </c>
      <c r="P48" s="1880">
        <f t="shared" si="0"/>
        <v>3900000</v>
      </c>
      <c r="Q48" s="2079"/>
    </row>
    <row r="49" spans="2:44" ht="12.95" customHeight="1" x14ac:dyDescent="0.2">
      <c r="B49" s="80"/>
      <c r="C49" s="33"/>
      <c r="D49" s="33"/>
      <c r="E49" s="1952"/>
      <c r="F49" s="33"/>
      <c r="G49" s="1079"/>
      <c r="H49" s="1079"/>
      <c r="I49" s="1079"/>
      <c r="J49" s="1079"/>
      <c r="K49" s="1079"/>
      <c r="L49" s="37" t="s">
        <v>1081</v>
      </c>
      <c r="M49" s="1652">
        <v>12</v>
      </c>
      <c r="N49" s="1652" t="s">
        <v>147</v>
      </c>
      <c r="O49" s="1653">
        <v>550000</v>
      </c>
      <c r="P49" s="1880">
        <f t="shared" si="0"/>
        <v>6600000</v>
      </c>
      <c r="Q49" s="2079"/>
    </row>
    <row r="50" spans="2:44" ht="12.95" customHeight="1" x14ac:dyDescent="0.2">
      <c r="B50" s="80"/>
      <c r="C50" s="33"/>
      <c r="D50" s="33"/>
      <c r="E50" s="1078"/>
      <c r="F50" s="47"/>
      <c r="G50" s="1079"/>
      <c r="H50" s="1079"/>
      <c r="I50" s="1079"/>
      <c r="J50" s="1079"/>
      <c r="K50" s="33"/>
      <c r="L50" s="25"/>
      <c r="M50" s="1412"/>
      <c r="N50" s="16"/>
      <c r="O50" s="18"/>
      <c r="P50" s="1877"/>
      <c r="Q50" s="730"/>
    </row>
    <row r="51" spans="2:44" ht="12.95" customHeight="1" x14ac:dyDescent="0.2">
      <c r="B51" s="80">
        <v>1</v>
      </c>
      <c r="C51" s="33" t="s">
        <v>440</v>
      </c>
      <c r="D51" s="33" t="s">
        <v>142</v>
      </c>
      <c r="E51" s="705" t="s">
        <v>142</v>
      </c>
      <c r="F51" s="47">
        <v>20</v>
      </c>
      <c r="G51" s="706">
        <v>5</v>
      </c>
      <c r="H51" s="706">
        <v>2</v>
      </c>
      <c r="I51" s="706">
        <v>1</v>
      </c>
      <c r="J51" s="33" t="s">
        <v>145</v>
      </c>
      <c r="K51" s="33" t="s">
        <v>145</v>
      </c>
      <c r="L51" s="191" t="s">
        <v>279</v>
      </c>
      <c r="M51" s="1122"/>
      <c r="N51" s="185"/>
      <c r="O51" s="262"/>
      <c r="P51" s="1876">
        <f>SUM(P52:P55)</f>
        <v>192000000</v>
      </c>
      <c r="Q51" s="2066"/>
      <c r="R51" s="721"/>
      <c r="S51" s="721"/>
      <c r="T51" s="721"/>
      <c r="U51" s="721"/>
      <c r="V51" s="721"/>
      <c r="W51" s="721"/>
      <c r="X51" s="721"/>
      <c r="Y51" s="721"/>
      <c r="Z51" s="721"/>
      <c r="AA51" s="721"/>
      <c r="AB51" s="2601" t="s">
        <v>306</v>
      </c>
      <c r="AC51" s="2602"/>
      <c r="AD51" s="1135">
        <v>3</v>
      </c>
      <c r="AE51" s="1135">
        <v>3</v>
      </c>
      <c r="AF51" s="1134"/>
      <c r="AN51" s="2601" t="s">
        <v>306</v>
      </c>
      <c r="AO51" s="2602"/>
      <c r="AP51" s="1135"/>
      <c r="AQ51" s="1135">
        <v>3</v>
      </c>
      <c r="AR51" s="1134"/>
    </row>
    <row r="52" spans="2:44" ht="12.95" customHeight="1" x14ac:dyDescent="0.2">
      <c r="B52" s="80"/>
      <c r="C52" s="33"/>
      <c r="D52" s="33"/>
      <c r="E52" s="705"/>
      <c r="F52" s="47"/>
      <c r="G52" s="706"/>
      <c r="H52" s="706"/>
      <c r="I52" s="706"/>
      <c r="J52" s="33"/>
      <c r="K52" s="706"/>
      <c r="L52" s="71" t="s">
        <v>601</v>
      </c>
      <c r="M52" s="1122">
        <f>1*12</f>
        <v>12</v>
      </c>
      <c r="N52" s="185" t="s">
        <v>147</v>
      </c>
      <c r="O52" s="119">
        <v>2000000</v>
      </c>
      <c r="P52" s="1881">
        <f>O52*M52</f>
        <v>24000000</v>
      </c>
      <c r="Q52" s="2067"/>
      <c r="R52" s="1136"/>
      <c r="S52" s="1136"/>
      <c r="T52" s="1136"/>
      <c r="U52" s="1136"/>
      <c r="V52" s="1136"/>
      <c r="W52" s="1136"/>
      <c r="X52" s="1136"/>
      <c r="Y52" s="1136"/>
      <c r="Z52" s="1136"/>
      <c r="AA52" s="1136"/>
      <c r="AB52" s="1137"/>
      <c r="AC52" s="1138"/>
      <c r="AD52" s="1138"/>
      <c r="AE52" s="1138"/>
      <c r="AF52" s="1134"/>
      <c r="AN52" s="1137"/>
      <c r="AO52" s="1138"/>
      <c r="AP52" s="1138"/>
      <c r="AQ52" s="1138"/>
      <c r="AR52" s="1134"/>
    </row>
    <row r="53" spans="2:44" ht="12.95" customHeight="1" x14ac:dyDescent="0.2">
      <c r="B53" s="80"/>
      <c r="C53" s="33"/>
      <c r="D53" s="33"/>
      <c r="E53" s="705"/>
      <c r="F53" s="47"/>
      <c r="G53" s="706"/>
      <c r="H53" s="706"/>
      <c r="I53" s="706"/>
      <c r="J53" s="33"/>
      <c r="K53" s="706"/>
      <c r="L53" s="71" t="s">
        <v>1057</v>
      </c>
      <c r="M53" s="1122">
        <f>2*12</f>
        <v>24</v>
      </c>
      <c r="N53" s="185" t="s">
        <v>147</v>
      </c>
      <c r="O53" s="119">
        <v>2000000</v>
      </c>
      <c r="P53" s="1881">
        <f>O53*M53</f>
        <v>48000000</v>
      </c>
      <c r="Q53" s="2067"/>
      <c r="R53" s="1139"/>
      <c r="S53" s="1139"/>
      <c r="T53" s="1139"/>
      <c r="U53" s="1139"/>
      <c r="V53" s="1139"/>
      <c r="W53" s="1139"/>
      <c r="X53" s="1139"/>
      <c r="Y53" s="1139"/>
      <c r="Z53" s="1139"/>
      <c r="AA53" s="1139"/>
      <c r="AB53" s="2601" t="s">
        <v>309</v>
      </c>
      <c r="AC53" s="2602"/>
      <c r="AD53" s="1140">
        <v>3</v>
      </c>
      <c r="AE53" s="1140">
        <v>3</v>
      </c>
      <c r="AF53" s="1134"/>
      <c r="AN53" s="2601" t="s">
        <v>309</v>
      </c>
      <c r="AO53" s="2602"/>
      <c r="AP53" s="1140"/>
      <c r="AQ53" s="1140">
        <v>2</v>
      </c>
      <c r="AR53" s="1134"/>
    </row>
    <row r="54" spans="2:44" ht="12.95" customHeight="1" x14ac:dyDescent="0.2">
      <c r="B54" s="80"/>
      <c r="C54" s="33"/>
      <c r="D54" s="33"/>
      <c r="E54" s="705"/>
      <c r="F54" s="47"/>
      <c r="G54" s="706"/>
      <c r="H54" s="706"/>
      <c r="I54" s="706"/>
      <c r="J54" s="33"/>
      <c r="K54" s="706"/>
      <c r="L54" s="71" t="s">
        <v>1056</v>
      </c>
      <c r="M54" s="1122">
        <f>3*12</f>
        <v>36</v>
      </c>
      <c r="N54" s="185" t="s">
        <v>147</v>
      </c>
      <c r="O54" s="119">
        <v>2000000</v>
      </c>
      <c r="P54" s="1881">
        <f>O54*M54</f>
        <v>72000000</v>
      </c>
      <c r="Q54" s="2067"/>
      <c r="R54" s="1139"/>
      <c r="S54" s="1139"/>
      <c r="T54" s="1139"/>
      <c r="U54" s="1139"/>
      <c r="V54" s="1139"/>
      <c r="W54" s="1139"/>
      <c r="X54" s="1139"/>
      <c r="Y54" s="1139"/>
      <c r="Z54" s="1139"/>
      <c r="AA54" s="1139"/>
      <c r="AB54" s="1141"/>
      <c r="AC54" s="1142"/>
      <c r="AD54" s="1140"/>
      <c r="AE54" s="1140"/>
      <c r="AF54" s="1134"/>
      <c r="AN54" s="1141"/>
      <c r="AO54" s="1142"/>
      <c r="AP54" s="1140"/>
      <c r="AQ54" s="1140"/>
      <c r="AR54" s="1134"/>
    </row>
    <row r="55" spans="2:44" ht="12.95" customHeight="1" x14ac:dyDescent="0.2">
      <c r="B55" s="80"/>
      <c r="C55" s="33"/>
      <c r="D55" s="33"/>
      <c r="E55" s="705"/>
      <c r="F55" s="47"/>
      <c r="G55" s="706"/>
      <c r="H55" s="706"/>
      <c r="I55" s="706"/>
      <c r="J55" s="33"/>
      <c r="K55" s="706"/>
      <c r="L55" s="71" t="s">
        <v>769</v>
      </c>
      <c r="M55" s="1122">
        <f>2*12</f>
        <v>24</v>
      </c>
      <c r="N55" s="185" t="s">
        <v>147</v>
      </c>
      <c r="O55" s="119">
        <v>2000000</v>
      </c>
      <c r="P55" s="1881">
        <f>O55*M55</f>
        <v>48000000</v>
      </c>
      <c r="Q55" s="2067"/>
      <c r="R55" s="1139"/>
      <c r="S55" s="1139"/>
      <c r="T55" s="1139"/>
      <c r="U55" s="1139"/>
      <c r="V55" s="1139"/>
      <c r="W55" s="1139"/>
      <c r="X55" s="1139"/>
      <c r="Y55" s="1139"/>
      <c r="Z55" s="1139"/>
      <c r="AA55" s="1139"/>
      <c r="AB55" s="1141"/>
      <c r="AC55" s="1142"/>
      <c r="AD55" s="1140"/>
      <c r="AE55" s="1140"/>
      <c r="AF55" s="1134"/>
      <c r="AN55" s="1141"/>
      <c r="AO55" s="1142"/>
      <c r="AP55" s="1140"/>
      <c r="AQ55" s="1140"/>
      <c r="AR55" s="1134"/>
    </row>
    <row r="56" spans="2:44" ht="12.95" customHeight="1" x14ac:dyDescent="0.2">
      <c r="B56" s="80"/>
      <c r="C56" s="33"/>
      <c r="D56" s="33"/>
      <c r="E56" s="705"/>
      <c r="F56" s="47"/>
      <c r="G56" s="706"/>
      <c r="H56" s="706"/>
      <c r="I56" s="706"/>
      <c r="J56" s="33"/>
      <c r="K56" s="706"/>
      <c r="L56" s="287"/>
      <c r="M56" s="1122"/>
      <c r="N56" s="1146"/>
      <c r="O56" s="1147"/>
      <c r="P56" s="1882"/>
      <c r="Q56" s="2093"/>
      <c r="R56" s="1144"/>
      <c r="S56" s="1144"/>
      <c r="T56" s="1144"/>
      <c r="U56" s="1144"/>
      <c r="V56" s="1144"/>
      <c r="W56" s="1144"/>
      <c r="X56" s="1144"/>
      <c r="Y56" s="1144"/>
      <c r="Z56" s="1144"/>
      <c r="AA56" s="1144"/>
      <c r="AB56" s="1148" t="s">
        <v>331</v>
      </c>
      <c r="AC56" s="1140"/>
      <c r="AD56" s="1140"/>
      <c r="AE56" s="1140">
        <f>SUM(AD57:AD62)</f>
        <v>4</v>
      </c>
      <c r="AF56" s="1134"/>
      <c r="AN56" s="1141"/>
      <c r="AO56" s="1142"/>
      <c r="AP56" s="1140"/>
      <c r="AQ56" s="1140"/>
      <c r="AR56" s="1134"/>
    </row>
    <row r="57" spans="2:44" ht="12.95" customHeight="1" x14ac:dyDescent="0.2">
      <c r="B57" s="80">
        <v>1</v>
      </c>
      <c r="C57" s="33" t="s">
        <v>440</v>
      </c>
      <c r="D57" s="33" t="s">
        <v>142</v>
      </c>
      <c r="E57" s="705" t="s">
        <v>142</v>
      </c>
      <c r="F57" s="47">
        <v>20</v>
      </c>
      <c r="G57" s="706">
        <v>5</v>
      </c>
      <c r="H57" s="706">
        <v>2</v>
      </c>
      <c r="I57" s="706">
        <v>2</v>
      </c>
      <c r="J57" s="706"/>
      <c r="K57" s="706"/>
      <c r="L57" s="56" t="s">
        <v>120</v>
      </c>
      <c r="M57" s="1122"/>
      <c r="N57" s="1146"/>
      <c r="O57" s="1147"/>
      <c r="P57" s="1883">
        <f>P58</f>
        <v>608160000</v>
      </c>
      <c r="Q57" s="2094"/>
      <c r="R57" s="1144"/>
      <c r="S57" s="1144"/>
      <c r="T57" s="1144"/>
      <c r="U57" s="1144"/>
      <c r="V57" s="1144"/>
      <c r="W57" s="1144"/>
      <c r="X57" s="1144"/>
      <c r="Y57" s="1144"/>
      <c r="Z57" s="1144"/>
      <c r="AA57" s="1144"/>
      <c r="AB57" s="1145" t="s">
        <v>340</v>
      </c>
      <c r="AC57" s="1138"/>
      <c r="AD57" s="1138">
        <v>2</v>
      </c>
      <c r="AE57" s="1138" t="s">
        <v>297</v>
      </c>
      <c r="AF57" s="1134"/>
      <c r="AN57" s="1141"/>
      <c r="AO57" s="1142"/>
      <c r="AP57" s="1140"/>
      <c r="AQ57" s="1140"/>
      <c r="AR57" s="1134"/>
    </row>
    <row r="58" spans="2:44" ht="12.95" customHeight="1" x14ac:dyDescent="0.2">
      <c r="B58" s="80">
        <v>1</v>
      </c>
      <c r="C58" s="33" t="s">
        <v>440</v>
      </c>
      <c r="D58" s="33" t="s">
        <v>142</v>
      </c>
      <c r="E58" s="705" t="s">
        <v>142</v>
      </c>
      <c r="F58" s="47">
        <v>20</v>
      </c>
      <c r="G58" s="706">
        <v>5</v>
      </c>
      <c r="H58" s="706">
        <v>2</v>
      </c>
      <c r="I58" s="706">
        <v>2</v>
      </c>
      <c r="J58" s="33" t="s">
        <v>164</v>
      </c>
      <c r="K58" s="706"/>
      <c r="L58" s="56" t="s">
        <v>112</v>
      </c>
      <c r="M58" s="1122"/>
      <c r="N58" s="1146"/>
      <c r="O58" s="1147"/>
      <c r="P58" s="1883">
        <f>P59+P62</f>
        <v>608160000</v>
      </c>
      <c r="Q58" s="2094"/>
      <c r="R58" s="1144"/>
      <c r="S58" s="1144"/>
      <c r="T58" s="1144"/>
      <c r="U58" s="1144"/>
      <c r="V58" s="1144"/>
      <c r="W58" s="1144"/>
      <c r="X58" s="1144"/>
      <c r="Y58" s="1144"/>
      <c r="Z58" s="1144"/>
      <c r="AA58" s="1144"/>
      <c r="AB58" s="1145"/>
      <c r="AC58" s="1138"/>
      <c r="AD58" s="1138"/>
      <c r="AE58" s="1138"/>
      <c r="AF58" s="1134"/>
      <c r="AN58" s="1141"/>
      <c r="AO58" s="1142"/>
      <c r="AP58" s="1140"/>
      <c r="AQ58" s="1140"/>
      <c r="AR58" s="1134"/>
    </row>
    <row r="59" spans="2:44" ht="12.95" customHeight="1" x14ac:dyDescent="0.2">
      <c r="B59" s="80">
        <v>1</v>
      </c>
      <c r="C59" s="33" t="s">
        <v>440</v>
      </c>
      <c r="D59" s="33" t="s">
        <v>142</v>
      </c>
      <c r="E59" s="705" t="s">
        <v>142</v>
      </c>
      <c r="F59" s="47">
        <v>20</v>
      </c>
      <c r="G59" s="706">
        <v>5</v>
      </c>
      <c r="H59" s="706">
        <v>2</v>
      </c>
      <c r="I59" s="706">
        <v>2</v>
      </c>
      <c r="J59" s="33" t="s">
        <v>164</v>
      </c>
      <c r="K59" s="33" t="s">
        <v>168</v>
      </c>
      <c r="L59" s="117" t="s">
        <v>471</v>
      </c>
      <c r="M59" s="1122"/>
      <c r="N59" s="1146"/>
      <c r="O59" s="1147"/>
      <c r="P59" s="1882">
        <f>P60</f>
        <v>2160000</v>
      </c>
      <c r="Q59" s="2093"/>
      <c r="R59" s="1144"/>
      <c r="S59" s="1144"/>
      <c r="T59" s="1144"/>
      <c r="U59" s="1144"/>
      <c r="V59" s="1144"/>
      <c r="W59" s="1144"/>
      <c r="X59" s="1144"/>
      <c r="Y59" s="1144"/>
      <c r="Z59" s="1144"/>
      <c r="AA59" s="1144"/>
      <c r="AB59" s="1145" t="s">
        <v>341</v>
      </c>
      <c r="AC59" s="1138"/>
      <c r="AD59" s="1138">
        <v>1</v>
      </c>
      <c r="AE59" s="1138" t="s">
        <v>297</v>
      </c>
      <c r="AF59" s="1134"/>
      <c r="AN59" s="1141"/>
      <c r="AO59" s="1142"/>
      <c r="AP59" s="1140"/>
      <c r="AQ59" s="1140"/>
      <c r="AR59" s="1134"/>
    </row>
    <row r="60" spans="2:44" ht="12.95" customHeight="1" x14ac:dyDescent="0.2">
      <c r="B60" s="179"/>
      <c r="C60" s="178"/>
      <c r="D60" s="178"/>
      <c r="E60" s="180"/>
      <c r="F60" s="1171"/>
      <c r="G60" s="181"/>
      <c r="H60" s="181"/>
      <c r="I60" s="181"/>
      <c r="J60" s="178"/>
      <c r="K60" s="181"/>
      <c r="L60" s="71" t="s">
        <v>472</v>
      </c>
      <c r="M60" s="1122">
        <f>2*12</f>
        <v>24</v>
      </c>
      <c r="N60" s="262" t="s">
        <v>667</v>
      </c>
      <c r="O60" s="868">
        <v>90000</v>
      </c>
      <c r="P60" s="1807">
        <f>M60*O60</f>
        <v>2160000</v>
      </c>
      <c r="Q60" s="1188"/>
      <c r="R60" s="820"/>
      <c r="S60" s="820"/>
      <c r="T60" s="820"/>
      <c r="U60" s="820"/>
      <c r="V60" s="820"/>
      <c r="W60" s="820"/>
      <c r="X60" s="820"/>
      <c r="Y60" s="820"/>
      <c r="Z60" s="820"/>
      <c r="AA60" s="820"/>
      <c r="AB60" s="1145"/>
      <c r="AC60" s="1138"/>
      <c r="AD60" s="1138"/>
      <c r="AE60" s="1138"/>
      <c r="AF60" s="1134"/>
      <c r="AN60" s="1145" t="s">
        <v>308</v>
      </c>
      <c r="AO60" s="1138"/>
      <c r="AP60" s="1138">
        <v>8</v>
      </c>
      <c r="AQ60" s="1138" t="s">
        <v>297</v>
      </c>
      <c r="AR60" s="1134"/>
    </row>
    <row r="61" spans="2:44" ht="12.95" customHeight="1" x14ac:dyDescent="0.2">
      <c r="B61" s="179"/>
      <c r="C61" s="178"/>
      <c r="D61" s="178"/>
      <c r="E61" s="180"/>
      <c r="F61" s="1171"/>
      <c r="G61" s="181"/>
      <c r="H61" s="181"/>
      <c r="I61" s="181"/>
      <c r="J61" s="178"/>
      <c r="K61" s="181"/>
      <c r="L61" s="71"/>
      <c r="M61" s="1122"/>
      <c r="N61" s="185"/>
      <c r="O61" s="868"/>
      <c r="P61" s="1807"/>
      <c r="Q61" s="1188"/>
      <c r="R61" s="820"/>
      <c r="S61" s="1919">
        <v>536400000</v>
      </c>
      <c r="T61" s="820"/>
      <c r="U61" s="820"/>
      <c r="V61" s="820"/>
      <c r="W61" s="820"/>
      <c r="X61" s="820"/>
      <c r="Y61" s="820"/>
      <c r="Z61" s="820"/>
      <c r="AA61" s="820"/>
      <c r="AB61" s="1145"/>
      <c r="AC61" s="1138"/>
      <c r="AD61" s="1138"/>
      <c r="AE61" s="1138"/>
      <c r="AF61" s="1152"/>
      <c r="AN61" s="1145"/>
      <c r="AO61" s="1138"/>
      <c r="AP61" s="1138"/>
      <c r="AQ61" s="1138"/>
      <c r="AR61" s="1152"/>
    </row>
    <row r="62" spans="2:44" ht="12.95" customHeight="1" x14ac:dyDescent="0.2">
      <c r="B62" s="80">
        <v>1</v>
      </c>
      <c r="C62" s="33" t="s">
        <v>440</v>
      </c>
      <c r="D62" s="33" t="s">
        <v>142</v>
      </c>
      <c r="E62" s="705" t="s">
        <v>142</v>
      </c>
      <c r="F62" s="47">
        <v>20</v>
      </c>
      <c r="G62" s="706">
        <v>5</v>
      </c>
      <c r="H62" s="706">
        <v>2</v>
      </c>
      <c r="I62" s="706">
        <v>2</v>
      </c>
      <c r="J62" s="33" t="s">
        <v>164</v>
      </c>
      <c r="K62" s="33">
        <v>27</v>
      </c>
      <c r="L62" s="117" t="s">
        <v>431</v>
      </c>
      <c r="M62" s="1122"/>
      <c r="N62" s="1146"/>
      <c r="O62" s="1147"/>
      <c r="P62" s="1882">
        <f>SUM(P63:P69)</f>
        <v>606000000</v>
      </c>
      <c r="Q62" s="2093"/>
      <c r="R62" s="1144"/>
      <c r="S62" s="1920">
        <f>P62-S61</f>
        <v>69600000</v>
      </c>
      <c r="T62" s="1144"/>
      <c r="U62" s="1144"/>
      <c r="V62" s="1144"/>
      <c r="W62" s="1144"/>
      <c r="X62" s="1144"/>
      <c r="Y62" s="1144"/>
      <c r="Z62" s="1144"/>
      <c r="AA62" s="1144"/>
      <c r="AB62" s="1145" t="s">
        <v>341</v>
      </c>
      <c r="AC62" s="1138"/>
      <c r="AD62" s="1138">
        <v>1</v>
      </c>
      <c r="AE62" s="1138" t="s">
        <v>297</v>
      </c>
      <c r="AF62" s="1134"/>
      <c r="AN62" s="1141"/>
      <c r="AO62" s="1142"/>
      <c r="AP62" s="1140"/>
      <c r="AQ62" s="1140"/>
      <c r="AR62" s="1134"/>
    </row>
    <row r="63" spans="2:44" ht="12.95" customHeight="1" x14ac:dyDescent="0.2">
      <c r="B63" s="179"/>
      <c r="C63" s="178"/>
      <c r="D63" s="178"/>
      <c r="E63" s="180"/>
      <c r="F63" s="1171"/>
      <c r="G63" s="181"/>
      <c r="H63" s="181"/>
      <c r="I63" s="181"/>
      <c r="J63" s="178"/>
      <c r="K63" s="181"/>
      <c r="L63" s="71" t="s">
        <v>1092</v>
      </c>
      <c r="M63" s="1122">
        <f>5*12</f>
        <v>60</v>
      </c>
      <c r="N63" s="262" t="s">
        <v>106</v>
      </c>
      <c r="O63" s="868">
        <v>4500000</v>
      </c>
      <c r="P63" s="1807">
        <f>M63*O63</f>
        <v>270000000</v>
      </c>
      <c r="Q63" s="1188"/>
      <c r="R63" s="925"/>
      <c r="S63" s="925"/>
      <c r="T63" s="925"/>
      <c r="U63" s="925"/>
      <c r="V63" s="925"/>
      <c r="W63" s="925"/>
      <c r="X63" s="925"/>
      <c r="Y63" s="925"/>
      <c r="Z63" s="925"/>
      <c r="AA63" s="925"/>
      <c r="AB63" s="1141" t="s">
        <v>311</v>
      </c>
      <c r="AC63" s="1142"/>
      <c r="AD63" s="1140"/>
      <c r="AE63" s="1140">
        <f>AD64</f>
        <v>1</v>
      </c>
      <c r="AF63" s="1134"/>
      <c r="AN63" s="1137"/>
      <c r="AO63" s="1138"/>
      <c r="AP63" s="1138"/>
      <c r="AQ63" s="1138"/>
      <c r="AR63" s="1134"/>
    </row>
    <row r="64" spans="2:44" ht="12.95" customHeight="1" x14ac:dyDescent="0.2">
      <c r="B64" s="179"/>
      <c r="C64" s="178"/>
      <c r="D64" s="178"/>
      <c r="E64" s="180"/>
      <c r="F64" s="1171"/>
      <c r="G64" s="706"/>
      <c r="H64" s="181"/>
      <c r="I64" s="181"/>
      <c r="J64" s="178"/>
      <c r="K64" s="181"/>
      <c r="L64" s="71" t="s">
        <v>898</v>
      </c>
      <c r="M64" s="1122">
        <v>12</v>
      </c>
      <c r="N64" s="262" t="s">
        <v>106</v>
      </c>
      <c r="O64" s="868">
        <v>6500000</v>
      </c>
      <c r="P64" s="1807">
        <f>M64*O64</f>
        <v>78000000</v>
      </c>
      <c r="Q64" s="1188"/>
      <c r="R64" s="1106"/>
      <c r="S64" s="1106"/>
      <c r="T64" s="1106"/>
      <c r="U64" s="1106"/>
      <c r="V64" s="1106"/>
      <c r="W64" s="1106"/>
      <c r="X64" s="1106"/>
      <c r="Y64" s="1106"/>
      <c r="Z64" s="1106"/>
      <c r="AA64" s="1106"/>
      <c r="AB64" s="1145" t="s">
        <v>333</v>
      </c>
      <c r="AC64" s="1138"/>
      <c r="AD64" s="1138">
        <v>1</v>
      </c>
      <c r="AE64" s="1138" t="s">
        <v>297</v>
      </c>
      <c r="AF64" s="1134"/>
      <c r="AN64" s="1141" t="s">
        <v>311</v>
      </c>
      <c r="AO64" s="1142"/>
      <c r="AP64" s="1140"/>
      <c r="AQ64" s="1140">
        <v>1</v>
      </c>
      <c r="AR64" s="1134"/>
    </row>
    <row r="65" spans="2:44" ht="12.95" customHeight="1" x14ac:dyDescent="0.2">
      <c r="B65" s="80"/>
      <c r="C65" s="33"/>
      <c r="D65" s="33"/>
      <c r="E65" s="705"/>
      <c r="F65" s="47"/>
      <c r="G65" s="46"/>
      <c r="H65" s="706"/>
      <c r="I65" s="706"/>
      <c r="J65" s="33"/>
      <c r="K65" s="706"/>
      <c r="L65" s="71" t="s">
        <v>897</v>
      </c>
      <c r="M65" s="1122">
        <f>2*12</f>
        <v>24</v>
      </c>
      <c r="N65" s="262" t="s">
        <v>106</v>
      </c>
      <c r="O65" s="868">
        <v>4500000</v>
      </c>
      <c r="P65" s="1807">
        <f>M65*O65</f>
        <v>108000000</v>
      </c>
      <c r="Q65" s="1188"/>
      <c r="R65" s="1106"/>
      <c r="S65" s="1106"/>
      <c r="T65" s="1106"/>
      <c r="U65" s="1106"/>
      <c r="V65" s="1106"/>
      <c r="W65" s="1106"/>
      <c r="X65" s="1106"/>
      <c r="Y65" s="1106"/>
      <c r="Z65" s="1106"/>
      <c r="AA65" s="1106"/>
      <c r="AB65" s="1145"/>
      <c r="AC65" s="1138"/>
      <c r="AD65" s="1138"/>
      <c r="AE65" s="1138"/>
      <c r="AF65" s="1134"/>
      <c r="AN65" s="1145" t="s">
        <v>310</v>
      </c>
      <c r="AO65" s="1138"/>
      <c r="AP65" s="1138">
        <v>1</v>
      </c>
      <c r="AQ65" s="1138" t="s">
        <v>297</v>
      </c>
      <c r="AR65" s="1134"/>
    </row>
    <row r="66" spans="2:44" ht="12.95" customHeight="1" x14ac:dyDescent="0.2">
      <c r="B66" s="80"/>
      <c r="C66" s="33"/>
      <c r="D66" s="33"/>
      <c r="E66" s="705"/>
      <c r="F66" s="47"/>
      <c r="G66" s="46"/>
      <c r="H66" s="706"/>
      <c r="I66" s="706"/>
      <c r="J66" s="33"/>
      <c r="K66" s="706"/>
      <c r="L66" s="71" t="s">
        <v>894</v>
      </c>
      <c r="M66" s="1122">
        <f>1*12</f>
        <v>12</v>
      </c>
      <c r="N66" s="185" t="s">
        <v>106</v>
      </c>
      <c r="O66" s="119">
        <v>2500000</v>
      </c>
      <c r="P66" s="1881">
        <f>O66*M66</f>
        <v>30000000</v>
      </c>
      <c r="Q66" s="2067"/>
      <c r="R66" s="1106"/>
      <c r="S66" s="1106"/>
      <c r="T66" s="1106"/>
      <c r="U66" s="1106"/>
      <c r="V66" s="1106"/>
      <c r="W66" s="1106"/>
      <c r="X66" s="1106"/>
      <c r="Y66" s="1106"/>
      <c r="Z66" s="1106"/>
      <c r="AA66" s="1106"/>
      <c r="AB66" s="1141" t="s">
        <v>394</v>
      </c>
      <c r="AN66" s="1145"/>
      <c r="AO66" s="1138"/>
      <c r="AP66" s="1138"/>
      <c r="AQ66" s="1138"/>
      <c r="AR66" s="1134"/>
    </row>
    <row r="67" spans="2:44" ht="12.95" customHeight="1" x14ac:dyDescent="0.2">
      <c r="B67" s="80"/>
      <c r="C67" s="33"/>
      <c r="D67" s="33"/>
      <c r="E67" s="705"/>
      <c r="F67" s="47"/>
      <c r="G67" s="46"/>
      <c r="H67" s="706"/>
      <c r="I67" s="706"/>
      <c r="J67" s="33"/>
      <c r="K67" s="706"/>
      <c r="L67" s="71" t="s">
        <v>343</v>
      </c>
      <c r="M67" s="1122">
        <f>1*12</f>
        <v>12</v>
      </c>
      <c r="N67" s="185" t="s">
        <v>106</v>
      </c>
      <c r="O67" s="119">
        <v>2500000</v>
      </c>
      <c r="P67" s="1881">
        <f>O67*M67</f>
        <v>30000000</v>
      </c>
      <c r="Q67" s="2067"/>
      <c r="R67" s="1106"/>
      <c r="S67" s="1106"/>
      <c r="T67" s="1106"/>
      <c r="U67" s="1106"/>
      <c r="V67" s="1106"/>
      <c r="W67" s="1106"/>
      <c r="X67" s="1106"/>
      <c r="Y67" s="1106"/>
      <c r="Z67" s="1106"/>
      <c r="AA67" s="1106"/>
      <c r="AC67" s="1142"/>
      <c r="AD67" s="1140"/>
      <c r="AE67" s="1140">
        <f>SUM(AD69:AD72)</f>
        <v>4</v>
      </c>
      <c r="AF67" s="1134">
        <v>1</v>
      </c>
      <c r="AN67" s="1149" t="s">
        <v>315</v>
      </c>
      <c r="AO67" s="1150"/>
      <c r="AP67" s="1151">
        <f>SUM(AP52:AP66)</f>
        <v>9</v>
      </c>
      <c r="AQ67" s="1151" t="s">
        <v>297</v>
      </c>
      <c r="AR67" s="1134"/>
    </row>
    <row r="68" spans="2:44" ht="12.95" customHeight="1" x14ac:dyDescent="0.2">
      <c r="B68" s="80"/>
      <c r="C68" s="33"/>
      <c r="D68" s="33"/>
      <c r="E68" s="705"/>
      <c r="F68" s="47"/>
      <c r="G68" s="33"/>
      <c r="H68" s="706"/>
      <c r="I68" s="706"/>
      <c r="J68" s="33"/>
      <c r="K68" s="706"/>
      <c r="L68" s="71" t="s">
        <v>895</v>
      </c>
      <c r="M68" s="1122">
        <v>24</v>
      </c>
      <c r="N68" s="185" t="s">
        <v>106</v>
      </c>
      <c r="O68" s="119">
        <v>2500000</v>
      </c>
      <c r="P68" s="1881">
        <f>O68*M68</f>
        <v>60000000</v>
      </c>
      <c r="Q68" s="2067"/>
      <c r="R68" s="1106"/>
      <c r="S68" s="1106"/>
      <c r="T68" s="1106"/>
      <c r="U68" s="1106"/>
      <c r="V68" s="1106"/>
      <c r="W68" s="1106"/>
      <c r="X68" s="1106"/>
      <c r="Y68" s="1106"/>
      <c r="Z68" s="1106"/>
      <c r="AA68" s="1106"/>
      <c r="AC68" s="1142"/>
      <c r="AD68" s="1140"/>
      <c r="AE68" s="1140"/>
      <c r="AF68" s="1152"/>
      <c r="AN68" s="1153"/>
      <c r="AO68" s="1154"/>
      <c r="AP68" s="1153"/>
      <c r="AQ68" s="1153"/>
      <c r="AR68" s="1152"/>
    </row>
    <row r="69" spans="2:44" ht="12.95" customHeight="1" x14ac:dyDescent="0.2">
      <c r="B69" s="80"/>
      <c r="C69" s="33"/>
      <c r="D69" s="33"/>
      <c r="E69" s="705"/>
      <c r="F69" s="47"/>
      <c r="G69" s="33"/>
      <c r="H69" s="706"/>
      <c r="I69" s="706"/>
      <c r="J69" s="33"/>
      <c r="K69" s="706"/>
      <c r="L69" s="71" t="s">
        <v>896</v>
      </c>
      <c r="M69" s="1122">
        <f t="shared" ref="M69" si="1">1*12</f>
        <v>12</v>
      </c>
      <c r="N69" s="185" t="s">
        <v>106</v>
      </c>
      <c r="O69" s="119">
        <v>2500000</v>
      </c>
      <c r="P69" s="151">
        <f>O69*M69</f>
        <v>30000000</v>
      </c>
      <c r="Q69" s="2067"/>
      <c r="AB69" s="1145" t="s">
        <v>313</v>
      </c>
      <c r="AC69" s="1138"/>
      <c r="AD69" s="1138">
        <v>1</v>
      </c>
      <c r="AE69" s="1138" t="s">
        <v>297</v>
      </c>
      <c r="AF69" s="1134"/>
      <c r="AN69" s="1153"/>
      <c r="AO69" s="1154"/>
      <c r="AP69" s="1153"/>
      <c r="AQ69" s="1153"/>
      <c r="AR69" s="1134"/>
    </row>
    <row r="70" spans="2:44" ht="12.95" customHeight="1" thickBot="1" x14ac:dyDescent="0.25">
      <c r="B70" s="80"/>
      <c r="C70" s="33"/>
      <c r="D70" s="33"/>
      <c r="E70" s="705"/>
      <c r="F70" s="1172"/>
      <c r="G70" s="33"/>
      <c r="H70" s="706"/>
      <c r="I70" s="706"/>
      <c r="J70" s="33"/>
      <c r="K70" s="706"/>
      <c r="L70" s="37"/>
      <c r="M70" s="1122"/>
      <c r="N70" s="185"/>
      <c r="O70" s="119"/>
      <c r="P70" s="151"/>
      <c r="Q70" s="2067"/>
      <c r="AB70" s="1145" t="s">
        <v>334</v>
      </c>
      <c r="AC70" s="1138"/>
      <c r="AD70" s="1138">
        <v>1</v>
      </c>
      <c r="AE70" s="1138" t="s">
        <v>297</v>
      </c>
      <c r="AF70" s="1134"/>
      <c r="AR70" s="1134"/>
    </row>
    <row r="71" spans="2:44" ht="12.95" customHeight="1" thickBot="1" x14ac:dyDescent="0.25">
      <c r="B71" s="110"/>
      <c r="C71" s="107"/>
      <c r="D71" s="107"/>
      <c r="E71" s="107"/>
      <c r="F71" s="107"/>
      <c r="G71" s="107"/>
      <c r="H71" s="107"/>
      <c r="I71" s="107"/>
      <c r="J71" s="107"/>
      <c r="K71" s="107"/>
      <c r="L71" s="107"/>
      <c r="M71" s="2597" t="s">
        <v>199</v>
      </c>
      <c r="N71" s="2597"/>
      <c r="O71" s="2598"/>
      <c r="P71" s="1884">
        <f>P30</f>
        <v>874860000</v>
      </c>
      <c r="Q71" s="2095"/>
      <c r="AB71" s="1145" t="s">
        <v>314</v>
      </c>
      <c r="AC71" s="1138"/>
      <c r="AD71" s="1138">
        <v>1</v>
      </c>
      <c r="AE71" s="1138" t="s">
        <v>297</v>
      </c>
      <c r="AF71" s="1134"/>
      <c r="AN71" s="1155" t="s">
        <v>325</v>
      </c>
      <c r="AO71" s="1156"/>
      <c r="AP71" s="1156"/>
      <c r="AQ71" s="1156"/>
      <c r="AR71" s="1134"/>
    </row>
    <row r="72" spans="2:44" ht="12.95" customHeight="1" x14ac:dyDescent="0.2">
      <c r="B72" s="803"/>
      <c r="C72" s="131"/>
      <c r="D72" s="131"/>
      <c r="E72" s="131"/>
      <c r="F72" s="131"/>
      <c r="G72" s="131"/>
      <c r="H72" s="131"/>
      <c r="I72" s="131"/>
      <c r="J72" s="131"/>
      <c r="K72" s="131"/>
      <c r="L72" s="131"/>
      <c r="M72" s="1064"/>
      <c r="N72" s="1064"/>
      <c r="O72" s="1064"/>
      <c r="P72" s="1065"/>
      <c r="Q72" s="2023"/>
      <c r="R72" s="721"/>
      <c r="S72" s="721"/>
      <c r="T72" s="721"/>
      <c r="U72" s="721"/>
      <c r="V72" s="721"/>
      <c r="W72" s="721"/>
      <c r="X72" s="721"/>
      <c r="Y72" s="721"/>
      <c r="Z72" s="721"/>
      <c r="AA72" s="721"/>
      <c r="AB72" s="1145" t="s">
        <v>335</v>
      </c>
      <c r="AC72" s="1138"/>
      <c r="AD72" s="1138">
        <v>1</v>
      </c>
      <c r="AE72" s="1138" t="s">
        <v>297</v>
      </c>
      <c r="AF72" s="1134"/>
      <c r="AN72" s="1141" t="s">
        <v>317</v>
      </c>
      <c r="AO72" s="1142"/>
      <c r="AP72" s="1135"/>
      <c r="AQ72" s="1135">
        <f>SUM(AP74:AP76)</f>
        <v>7</v>
      </c>
      <c r="AR72" s="1134"/>
    </row>
    <row r="73" spans="2:44" ht="12.95" customHeight="1" x14ac:dyDescent="0.2">
      <c r="B73" s="803"/>
      <c r="C73" s="131"/>
      <c r="D73" s="131"/>
      <c r="E73" s="131"/>
      <c r="F73" s="131"/>
      <c r="G73" s="131"/>
      <c r="H73" s="131"/>
      <c r="I73" s="131"/>
      <c r="J73" s="131"/>
      <c r="K73" s="131"/>
      <c r="L73" s="131"/>
      <c r="M73" s="2506" t="str">
        <f>'RECAP APBD'!E43</f>
        <v>Banda Aceh,                   2020</v>
      </c>
      <c r="N73" s="2506"/>
      <c r="O73" s="2506"/>
      <c r="P73" s="2507"/>
      <c r="Q73" s="2028"/>
      <c r="R73" s="721"/>
      <c r="S73" s="721"/>
      <c r="T73" s="721"/>
      <c r="U73" s="721"/>
      <c r="V73" s="721"/>
      <c r="W73" s="721"/>
      <c r="X73" s="721"/>
      <c r="Y73" s="721"/>
      <c r="Z73" s="721"/>
      <c r="AA73" s="721"/>
      <c r="AB73" s="1145"/>
      <c r="AC73" s="1138"/>
      <c r="AD73" s="1138"/>
      <c r="AE73" s="1138"/>
      <c r="AF73" s="1152"/>
      <c r="AN73" s="1141"/>
      <c r="AO73" s="1142"/>
      <c r="AP73" s="1135"/>
      <c r="AQ73" s="1135"/>
      <c r="AR73" s="1152"/>
    </row>
    <row r="74" spans="2:44" ht="12.95" customHeight="1" x14ac:dyDescent="0.2">
      <c r="B74" s="170"/>
      <c r="C74" s="131"/>
      <c r="D74" s="131"/>
      <c r="E74" s="131"/>
      <c r="F74" s="131"/>
      <c r="G74" s="131"/>
      <c r="H74" s="131"/>
      <c r="I74" s="131"/>
      <c r="J74" s="131"/>
      <c r="K74" s="131"/>
      <c r="L74" s="131"/>
      <c r="M74" s="2449" t="str">
        <f>'RECAP APBD'!E44</f>
        <v>Pengguna Anggaran</v>
      </c>
      <c r="N74" s="2449"/>
      <c r="O74" s="2449"/>
      <c r="P74" s="2600"/>
      <c r="Q74" s="2027"/>
      <c r="AB74" s="1141" t="s">
        <v>336</v>
      </c>
      <c r="AC74" s="1142"/>
      <c r="AD74" s="1135"/>
      <c r="AE74" s="1135">
        <f>SUM(AD75:AD77)</f>
        <v>8</v>
      </c>
      <c r="AF74" s="1134"/>
      <c r="AN74" s="1145" t="s">
        <v>316</v>
      </c>
      <c r="AO74" s="1138"/>
      <c r="AP74" s="1138">
        <v>2</v>
      </c>
      <c r="AQ74" s="1138" t="s">
        <v>297</v>
      </c>
      <c r="AR74" s="1134"/>
    </row>
    <row r="75" spans="2:44" ht="12.95" customHeight="1" x14ac:dyDescent="0.2">
      <c r="B75" s="170"/>
      <c r="C75" s="131"/>
      <c r="D75" s="131"/>
      <c r="E75" s="131"/>
      <c r="F75" s="131"/>
      <c r="G75" s="131"/>
      <c r="H75" s="131"/>
      <c r="I75" s="131"/>
      <c r="J75" s="131"/>
      <c r="K75" s="131"/>
      <c r="L75" s="131"/>
      <c r="M75" s="2449" t="str">
        <f>'RECAP APBD'!E45</f>
        <v>Satuan Kerja Perangkat Daerah</v>
      </c>
      <c r="N75" s="2449"/>
      <c r="O75" s="2449"/>
      <c r="P75" s="2600"/>
      <c r="Q75" s="2027"/>
      <c r="AB75" s="1145" t="s">
        <v>316</v>
      </c>
      <c r="AC75" s="1138"/>
      <c r="AD75" s="1138">
        <v>3</v>
      </c>
      <c r="AE75" s="1138" t="s">
        <v>297</v>
      </c>
      <c r="AF75" s="1134"/>
      <c r="AN75" s="1145" t="s">
        <v>318</v>
      </c>
      <c r="AO75" s="1138"/>
      <c r="AP75" s="1138">
        <v>3</v>
      </c>
      <c r="AQ75" s="1138" t="s">
        <v>297</v>
      </c>
      <c r="AR75" s="1134"/>
    </row>
    <row r="76" spans="2:44" ht="12.95" customHeight="1" x14ac:dyDescent="0.2">
      <c r="B76" s="170"/>
      <c r="C76" s="131"/>
      <c r="D76" s="131"/>
      <c r="E76" s="131"/>
      <c r="F76" s="131"/>
      <c r="G76" s="131"/>
      <c r="H76" s="131"/>
      <c r="I76" s="131"/>
      <c r="J76" s="131"/>
      <c r="K76" s="131"/>
      <c r="L76" s="201"/>
      <c r="M76" s="703"/>
      <c r="N76" s="703"/>
      <c r="O76" s="703"/>
      <c r="P76" s="704"/>
      <c r="Q76" s="2023"/>
      <c r="AB76" s="1145" t="s">
        <v>318</v>
      </c>
      <c r="AC76" s="1138"/>
      <c r="AD76" s="1138">
        <v>3</v>
      </c>
      <c r="AE76" s="1138" t="s">
        <v>297</v>
      </c>
      <c r="AF76" s="1134"/>
      <c r="AN76" s="1145" t="s">
        <v>319</v>
      </c>
      <c r="AO76" s="1138"/>
      <c r="AP76" s="1138">
        <v>2</v>
      </c>
      <c r="AQ76" s="1138"/>
      <c r="AR76" s="1134"/>
    </row>
    <row r="77" spans="2:44" ht="12.95" customHeight="1" x14ac:dyDescent="0.2">
      <c r="B77" s="170"/>
      <c r="C77" s="131"/>
      <c r="D77" s="131"/>
      <c r="E77" s="131"/>
      <c r="F77" s="131"/>
      <c r="G77" s="131"/>
      <c r="H77" s="131"/>
      <c r="I77" s="131"/>
      <c r="J77" s="131"/>
      <c r="K77" s="131"/>
      <c r="L77" s="131"/>
      <c r="M77" s="2381"/>
      <c r="N77" s="2381"/>
      <c r="O77" s="2381"/>
      <c r="P77" s="2382"/>
      <c r="Q77" s="2023"/>
      <c r="AB77" s="1145" t="s">
        <v>319</v>
      </c>
      <c r="AC77" s="1138"/>
      <c r="AD77" s="1138">
        <v>2</v>
      </c>
      <c r="AE77" s="1138" t="s">
        <v>297</v>
      </c>
      <c r="AF77" s="1134"/>
      <c r="AN77" s="1157"/>
      <c r="AO77" s="1158"/>
      <c r="AP77" s="1138"/>
      <c r="AQ77" s="1138"/>
      <c r="AR77" s="1134"/>
    </row>
    <row r="78" spans="2:44" ht="12.95" customHeight="1" x14ac:dyDescent="0.2">
      <c r="B78" s="170"/>
      <c r="C78" s="131"/>
      <c r="D78" s="131"/>
      <c r="E78" s="131"/>
      <c r="F78" s="131"/>
      <c r="G78" s="131"/>
      <c r="H78" s="131"/>
      <c r="I78" s="131"/>
      <c r="J78" s="131"/>
      <c r="K78" s="131"/>
      <c r="L78" s="131"/>
      <c r="M78" s="2449" t="str">
        <f>'RECAP APBD'!E48</f>
        <v>Bustami, SH</v>
      </c>
      <c r="N78" s="2449"/>
      <c r="O78" s="2449"/>
      <c r="P78" s="2600"/>
      <c r="Q78" s="2027"/>
      <c r="AB78" s="1157"/>
      <c r="AC78" s="1158"/>
      <c r="AD78" s="1138"/>
      <c r="AE78" s="1138"/>
      <c r="AF78" s="1134"/>
      <c r="AN78" s="1148" t="s">
        <v>320</v>
      </c>
      <c r="AO78" s="1140"/>
      <c r="AP78" s="1140"/>
      <c r="AQ78" s="1140">
        <v>1</v>
      </c>
      <c r="AR78" s="1134"/>
    </row>
    <row r="79" spans="2:44" ht="12.95" customHeight="1" x14ac:dyDescent="0.2">
      <c r="B79" s="170"/>
      <c r="C79" s="131"/>
      <c r="D79" s="131"/>
      <c r="E79" s="131"/>
      <c r="F79" s="131"/>
      <c r="G79" s="131"/>
      <c r="H79" s="131"/>
      <c r="I79" s="131"/>
      <c r="J79" s="131"/>
      <c r="K79" s="131"/>
      <c r="L79" s="131"/>
      <c r="M79" s="2573" t="str">
        <f>'RECAP APBD'!E49</f>
        <v>Pembina Utama Muda / Nip. 19630824 198703 1 004</v>
      </c>
      <c r="N79" s="2573"/>
      <c r="O79" s="2573"/>
      <c r="P79" s="2574"/>
      <c r="Q79" s="2033"/>
      <c r="AB79" s="1148" t="s">
        <v>320</v>
      </c>
      <c r="AC79" s="1140"/>
      <c r="AD79" s="1140"/>
      <c r="AE79" s="1140">
        <v>1</v>
      </c>
      <c r="AF79" s="1134"/>
      <c r="AN79" s="1145" t="s">
        <v>321</v>
      </c>
      <c r="AO79" s="1138"/>
      <c r="AP79" s="1138">
        <v>1</v>
      </c>
      <c r="AQ79" s="1138" t="s">
        <v>297</v>
      </c>
      <c r="AR79" s="1134"/>
    </row>
    <row r="80" spans="2:44" ht="12.95" customHeight="1" x14ac:dyDescent="0.2">
      <c r="B80" s="2501" t="s">
        <v>140</v>
      </c>
      <c r="C80" s="2502"/>
      <c r="D80" s="2502"/>
      <c r="E80" s="2502"/>
      <c r="F80" s="2502"/>
      <c r="G80" s="2502"/>
      <c r="H80" s="2502"/>
      <c r="I80" s="2502"/>
      <c r="J80" s="2502"/>
      <c r="K80" s="2502"/>
      <c r="L80" s="2502"/>
      <c r="M80" s="2513"/>
      <c r="N80" s="2513"/>
      <c r="O80" s="2513"/>
      <c r="P80" s="2514"/>
      <c r="Q80" s="571"/>
      <c r="AB80" s="1148" t="s">
        <v>322</v>
      </c>
      <c r="AC80" s="1140"/>
      <c r="AD80" s="1140"/>
      <c r="AE80" s="1140">
        <v>10</v>
      </c>
      <c r="AF80" s="1134"/>
      <c r="AN80" s="1145" t="s">
        <v>323</v>
      </c>
      <c r="AO80" s="1138"/>
      <c r="AP80" s="1138">
        <v>10</v>
      </c>
      <c r="AQ80" s="1138" t="s">
        <v>297</v>
      </c>
      <c r="AR80" s="1134"/>
    </row>
    <row r="81" spans="2:44" ht="12.95" customHeight="1" x14ac:dyDescent="0.2">
      <c r="B81" s="2501" t="s">
        <v>22</v>
      </c>
      <c r="C81" s="2502"/>
      <c r="D81" s="2502"/>
      <c r="E81" s="2502"/>
      <c r="F81" s="2502"/>
      <c r="G81" s="2502"/>
      <c r="H81" s="2502"/>
      <c r="I81" s="2502"/>
      <c r="J81" s="2502"/>
      <c r="K81" s="2502"/>
      <c r="L81" s="2502"/>
      <c r="M81" s="251"/>
      <c r="N81" s="2508"/>
      <c r="O81" s="2508"/>
      <c r="P81" s="2509"/>
      <c r="Q81" s="1490"/>
      <c r="AB81" s="1145" t="s">
        <v>337</v>
      </c>
      <c r="AC81" s="1138"/>
      <c r="AD81" s="1138">
        <v>10</v>
      </c>
      <c r="AE81" s="1138" t="s">
        <v>297</v>
      </c>
      <c r="AF81" s="1134"/>
      <c r="AN81" s="1137"/>
      <c r="AO81" s="1138"/>
      <c r="AP81" s="1138"/>
      <c r="AQ81" s="1138"/>
      <c r="AR81" s="1134"/>
    </row>
    <row r="82" spans="2:44" ht="12.95" customHeight="1" x14ac:dyDescent="0.2">
      <c r="B82" s="2501" t="s">
        <v>21</v>
      </c>
      <c r="C82" s="2502"/>
      <c r="D82" s="2502"/>
      <c r="E82" s="2502"/>
      <c r="F82" s="2502"/>
      <c r="G82" s="2502"/>
      <c r="H82" s="2502"/>
      <c r="I82" s="2502"/>
      <c r="J82" s="2502"/>
      <c r="K82" s="2502"/>
      <c r="L82" s="2502"/>
      <c r="M82" s="251"/>
      <c r="N82" s="2503"/>
      <c r="O82" s="2503"/>
      <c r="P82" s="2504"/>
      <c r="Q82" s="2034"/>
      <c r="AB82" s="1137"/>
      <c r="AC82" s="1138"/>
      <c r="AD82" s="1138"/>
      <c r="AE82" s="1138"/>
      <c r="AF82" s="1134"/>
      <c r="AN82" s="1148" t="s">
        <v>331</v>
      </c>
      <c r="AO82" s="1140"/>
      <c r="AP82" s="1140"/>
      <c r="AQ82" s="1140">
        <v>6</v>
      </c>
      <c r="AR82" s="1134"/>
    </row>
    <row r="83" spans="2:44" ht="12.95" customHeight="1" x14ac:dyDescent="0.2">
      <c r="B83" s="2501" t="s">
        <v>204</v>
      </c>
      <c r="C83" s="2502"/>
      <c r="D83" s="2502"/>
      <c r="E83" s="2502"/>
      <c r="F83" s="2502"/>
      <c r="G83" s="2502"/>
      <c r="H83" s="2502"/>
      <c r="I83" s="2502"/>
      <c r="J83" s="2502"/>
      <c r="K83" s="2502"/>
      <c r="L83" s="2502"/>
      <c r="M83" s="2502"/>
      <c r="N83" s="2502"/>
      <c r="O83" s="2502"/>
      <c r="P83" s="2505"/>
      <c r="Q83" s="572"/>
      <c r="AB83" s="1141" t="s">
        <v>338</v>
      </c>
      <c r="AC83" s="1142"/>
      <c r="AD83" s="1140"/>
      <c r="AE83" s="1140">
        <f>AD84</f>
        <v>2</v>
      </c>
      <c r="AF83" s="1134"/>
      <c r="AN83" s="1145" t="s">
        <v>332</v>
      </c>
      <c r="AO83" s="1138"/>
      <c r="AP83" s="1138">
        <v>6</v>
      </c>
      <c r="AQ83" s="1138" t="s">
        <v>297</v>
      </c>
      <c r="AR83" s="1134"/>
    </row>
    <row r="84" spans="2:44" ht="12.95" customHeight="1" x14ac:dyDescent="0.2">
      <c r="B84" s="2501" t="s">
        <v>205</v>
      </c>
      <c r="C84" s="2502"/>
      <c r="D84" s="2502"/>
      <c r="E84" s="2502"/>
      <c r="F84" s="2502"/>
      <c r="G84" s="2502"/>
      <c r="H84" s="2502"/>
      <c r="I84" s="2502"/>
      <c r="J84" s="2502"/>
      <c r="K84" s="2502"/>
      <c r="L84" s="2502"/>
      <c r="M84" s="2502"/>
      <c r="N84" s="2502"/>
      <c r="O84" s="2502"/>
      <c r="P84" s="2505"/>
      <c r="Q84" s="572"/>
      <c r="AB84" s="1137" t="s">
        <v>339</v>
      </c>
      <c r="AC84" s="1138"/>
      <c r="AD84" s="1138">
        <v>2</v>
      </c>
      <c r="AE84" s="1138" t="s">
        <v>297</v>
      </c>
      <c r="AF84" s="1134"/>
      <c r="AN84" s="1137"/>
      <c r="AO84" s="1138"/>
      <c r="AP84" s="1138"/>
      <c r="AQ84" s="1138"/>
      <c r="AR84" s="1134"/>
    </row>
    <row r="85" spans="2:44" ht="12.95" customHeight="1" thickBot="1" x14ac:dyDescent="0.25">
      <c r="B85" s="2517" t="s">
        <v>206</v>
      </c>
      <c r="C85" s="2518"/>
      <c r="D85" s="2518"/>
      <c r="E85" s="2518"/>
      <c r="F85" s="2518"/>
      <c r="G85" s="2518"/>
      <c r="H85" s="2518"/>
      <c r="I85" s="2518"/>
      <c r="J85" s="2518"/>
      <c r="K85" s="2518"/>
      <c r="L85" s="2518"/>
      <c r="M85" s="2518"/>
      <c r="N85" s="2518"/>
      <c r="O85" s="2518"/>
      <c r="P85" s="2519"/>
      <c r="Q85" s="572"/>
      <c r="AB85" s="1137"/>
      <c r="AC85" s="1138"/>
      <c r="AD85" s="1138"/>
      <c r="AE85" s="1138"/>
      <c r="AF85" s="1134"/>
      <c r="AN85" s="1141" t="s">
        <v>307</v>
      </c>
      <c r="AO85" s="1142"/>
      <c r="AP85" s="1140"/>
      <c r="AQ85" s="1140">
        <v>4</v>
      </c>
      <c r="AR85" s="1134"/>
    </row>
    <row r="86" spans="2:44" ht="12.95" customHeight="1" thickTop="1" x14ac:dyDescent="0.2">
      <c r="B86" s="2523" t="s">
        <v>25</v>
      </c>
      <c r="C86" s="2524"/>
      <c r="D86" s="2524"/>
      <c r="E86" s="2524"/>
      <c r="F86" s="2524"/>
      <c r="G86" s="2524"/>
      <c r="H86" s="2524"/>
      <c r="I86" s="2524"/>
      <c r="J86" s="2524"/>
      <c r="K86" s="2524"/>
      <c r="L86" s="2524"/>
      <c r="M86" s="2524"/>
      <c r="N86" s="2524"/>
      <c r="O86" s="2524"/>
      <c r="P86" s="2525"/>
      <c r="Q86" s="2023"/>
      <c r="AB86" s="1145" t="s">
        <v>432</v>
      </c>
      <c r="AC86" s="1138"/>
      <c r="AD86" s="1138">
        <v>10</v>
      </c>
      <c r="AE86" s="1138" t="s">
        <v>297</v>
      </c>
      <c r="AF86" s="1134"/>
      <c r="AN86" s="1145" t="s">
        <v>308</v>
      </c>
      <c r="AO86" s="1138"/>
      <c r="AP86" s="1138">
        <v>4</v>
      </c>
      <c r="AQ86" s="1138" t="s">
        <v>297</v>
      </c>
      <c r="AR86" s="1134"/>
    </row>
    <row r="87" spans="2:44" ht="12.95" customHeight="1" thickBot="1" x14ac:dyDescent="0.25">
      <c r="B87" s="2526" t="s">
        <v>207</v>
      </c>
      <c r="C87" s="2527"/>
      <c r="D87" s="2528" t="s">
        <v>208</v>
      </c>
      <c r="E87" s="2529"/>
      <c r="F87" s="2529"/>
      <c r="G87" s="2529"/>
      <c r="H87" s="2529"/>
      <c r="I87" s="2529"/>
      <c r="J87" s="2529"/>
      <c r="K87" s="2529"/>
      <c r="L87" s="2530"/>
      <c r="M87" s="2531" t="s">
        <v>209</v>
      </c>
      <c r="N87" s="2530"/>
      <c r="O87" s="4" t="s">
        <v>210</v>
      </c>
      <c r="P87" s="92" t="s">
        <v>211</v>
      </c>
      <c r="Q87" s="2027"/>
      <c r="AB87" s="1149" t="s">
        <v>400</v>
      </c>
      <c r="AC87" s="1150"/>
      <c r="AD87" s="1151">
        <f>SUM(AD52:AD86)</f>
        <v>42</v>
      </c>
      <c r="AE87" s="1151" t="s">
        <v>297</v>
      </c>
      <c r="AF87" s="1134"/>
      <c r="AN87" s="1159"/>
      <c r="AO87" s="1160"/>
      <c r="AP87" s="1161"/>
      <c r="AQ87" s="1161"/>
      <c r="AR87" s="1134"/>
    </row>
    <row r="88" spans="2:44" ht="12.95" customHeight="1" thickTop="1" x14ac:dyDescent="0.2">
      <c r="B88" s="2535">
        <v>1</v>
      </c>
      <c r="C88" s="2536"/>
      <c r="D88" s="2532"/>
      <c r="E88" s="2533"/>
      <c r="F88" s="2533"/>
      <c r="G88" s="2533"/>
      <c r="H88" s="2533"/>
      <c r="I88" s="2533"/>
      <c r="J88" s="2533"/>
      <c r="K88" s="2533"/>
      <c r="L88" s="2534"/>
      <c r="M88" s="2538"/>
      <c r="N88" s="2539"/>
      <c r="O88" s="1073"/>
      <c r="P88" s="1177" t="s">
        <v>10</v>
      </c>
      <c r="Q88" s="1257"/>
      <c r="AN88" s="1141" t="s">
        <v>312</v>
      </c>
      <c r="AO88" s="1142"/>
      <c r="AP88" s="1140"/>
      <c r="AQ88" s="1140">
        <v>2</v>
      </c>
      <c r="AR88" s="1134"/>
    </row>
    <row r="89" spans="2:44" ht="12.95" customHeight="1" x14ac:dyDescent="0.2">
      <c r="B89" s="2522">
        <v>2</v>
      </c>
      <c r="C89" s="2240"/>
      <c r="D89" s="1116"/>
      <c r="E89" s="1117"/>
      <c r="F89" s="1117"/>
      <c r="G89" s="1117"/>
      <c r="H89" s="1117"/>
      <c r="I89" s="1117"/>
      <c r="J89" s="1117"/>
      <c r="K89" s="1117"/>
      <c r="L89" s="1118"/>
      <c r="M89" s="2442"/>
      <c r="N89" s="2247"/>
      <c r="O89" s="1085"/>
      <c r="P89" s="1177" t="s">
        <v>11</v>
      </c>
      <c r="Q89" s="1257"/>
      <c r="AN89" s="1145" t="s">
        <v>313</v>
      </c>
      <c r="AO89" s="1138"/>
      <c r="AP89" s="1138">
        <v>1</v>
      </c>
      <c r="AQ89" s="1138" t="s">
        <v>297</v>
      </c>
      <c r="AR89" s="1134"/>
    </row>
    <row r="90" spans="2:44" ht="12.95" customHeight="1" x14ac:dyDescent="0.2">
      <c r="B90" s="2522">
        <v>3</v>
      </c>
      <c r="C90" s="2240"/>
      <c r="D90" s="1116"/>
      <c r="E90" s="1117"/>
      <c r="F90" s="1117"/>
      <c r="G90" s="1117"/>
      <c r="H90" s="1117"/>
      <c r="I90" s="1117"/>
      <c r="J90" s="1117"/>
      <c r="K90" s="1117"/>
      <c r="L90" s="1118"/>
      <c r="M90" s="2442"/>
      <c r="N90" s="2247"/>
      <c r="O90" s="1085"/>
      <c r="P90" s="1177" t="s">
        <v>12</v>
      </c>
      <c r="Q90" s="1257"/>
      <c r="AN90" s="1145" t="s">
        <v>314</v>
      </c>
      <c r="AO90" s="1138"/>
      <c r="AP90" s="1138">
        <v>1</v>
      </c>
      <c r="AQ90" s="1138" t="s">
        <v>297</v>
      </c>
      <c r="AR90" s="1134"/>
    </row>
    <row r="91" spans="2:44" ht="12.95" customHeight="1" x14ac:dyDescent="0.2">
      <c r="B91" s="2522">
        <v>4</v>
      </c>
      <c r="C91" s="2240"/>
      <c r="D91" s="1116"/>
      <c r="E91" s="1117"/>
      <c r="F91" s="1117"/>
      <c r="G91" s="1117"/>
      <c r="H91" s="1117"/>
      <c r="I91" s="1117"/>
      <c r="J91" s="1117"/>
      <c r="K91" s="1117"/>
      <c r="L91" s="1118"/>
      <c r="M91" s="2443"/>
      <c r="N91" s="2253"/>
      <c r="O91" s="1085"/>
      <c r="P91" s="1177" t="s">
        <v>13</v>
      </c>
      <c r="Q91" s="1257"/>
      <c r="AN91" s="1149" t="s">
        <v>315</v>
      </c>
      <c r="AO91" s="1150"/>
      <c r="AP91" s="1151">
        <f>SUM(AP74:AP90)</f>
        <v>30</v>
      </c>
      <c r="AQ91" s="1151" t="s">
        <v>297</v>
      </c>
      <c r="AR91" s="1134"/>
    </row>
    <row r="92" spans="2:44" ht="12.95" customHeight="1" x14ac:dyDescent="0.2">
      <c r="B92" s="2522">
        <v>5</v>
      </c>
      <c r="C92" s="2240"/>
      <c r="D92" s="1116"/>
      <c r="E92" s="1117"/>
      <c r="F92" s="1117"/>
      <c r="G92" s="1117"/>
      <c r="H92" s="1117"/>
      <c r="I92" s="1117"/>
      <c r="J92" s="1117"/>
      <c r="K92" s="1117"/>
      <c r="L92" s="1118"/>
      <c r="M92" s="2443"/>
      <c r="N92" s="2253"/>
      <c r="O92" s="1085"/>
      <c r="P92" s="1177" t="s">
        <v>14</v>
      </c>
      <c r="Q92" s="1257"/>
    </row>
    <row r="93" spans="2:44" ht="12.95" customHeight="1" x14ac:dyDescent="0.2">
      <c r="B93" s="2522">
        <v>6</v>
      </c>
      <c r="C93" s="2240"/>
      <c r="D93" s="1116"/>
      <c r="E93" s="1117"/>
      <c r="F93" s="1117"/>
      <c r="G93" s="1117"/>
      <c r="H93" s="1117"/>
      <c r="I93" s="1117"/>
      <c r="J93" s="1117"/>
      <c r="K93" s="1117"/>
      <c r="L93" s="1118"/>
      <c r="M93" s="2443"/>
      <c r="N93" s="2253"/>
      <c r="O93" s="1085"/>
      <c r="P93" s="1178" t="s">
        <v>42</v>
      </c>
      <c r="Q93" s="2052"/>
    </row>
    <row r="94" spans="2:44" ht="12.95" customHeight="1" thickBot="1" x14ac:dyDescent="0.25">
      <c r="B94" s="2520">
        <v>7</v>
      </c>
      <c r="C94" s="2521"/>
      <c r="D94" s="1119"/>
      <c r="E94" s="1120"/>
      <c r="F94" s="1120"/>
      <c r="G94" s="1120"/>
      <c r="H94" s="1120"/>
      <c r="I94" s="1120"/>
      <c r="J94" s="1120"/>
      <c r="K94" s="1120"/>
      <c r="L94" s="1121"/>
      <c r="M94" s="2537"/>
      <c r="N94" s="2300"/>
      <c r="O94" s="1061"/>
      <c r="P94" s="1179" t="s">
        <v>487</v>
      </c>
      <c r="Q94" s="2053"/>
    </row>
    <row r="95" spans="2:44" ht="17.100000000000001" customHeight="1" thickTop="1" x14ac:dyDescent="0.2"/>
    <row r="96" spans="2:44" ht="17.100000000000001" customHeight="1" x14ac:dyDescent="0.2"/>
    <row r="97" spans="28:34" ht="17.100000000000001" customHeight="1" x14ac:dyDescent="0.2"/>
    <row r="98" spans="28:34" ht="17.100000000000001" customHeight="1" x14ac:dyDescent="0.2"/>
    <row r="99" spans="28:34" ht="17.100000000000001" customHeight="1" x14ac:dyDescent="0.2"/>
    <row r="100" spans="28:34" ht="17.100000000000001" customHeight="1" x14ac:dyDescent="0.2"/>
    <row r="101" spans="28:34" ht="17.100000000000001" customHeight="1" x14ac:dyDescent="0.2">
      <c r="AB101" s="1106"/>
      <c r="AC101" s="1106" t="s">
        <v>395</v>
      </c>
      <c r="AD101" s="1106"/>
      <c r="AE101" s="1106"/>
    </row>
    <row r="102" spans="28:34" ht="17.100000000000001" customHeight="1" x14ac:dyDescent="0.2">
      <c r="AB102" s="715" t="s">
        <v>386</v>
      </c>
      <c r="AD102" s="715">
        <v>1</v>
      </c>
      <c r="AE102" s="715" t="s">
        <v>297</v>
      </c>
      <c r="AG102" s="715" t="s">
        <v>401</v>
      </c>
    </row>
    <row r="103" spans="28:34" ht="17.100000000000001" customHeight="1" x14ac:dyDescent="0.2">
      <c r="AB103" s="715" t="s">
        <v>409</v>
      </c>
      <c r="AD103" s="715">
        <v>2</v>
      </c>
      <c r="AE103" s="715" t="s">
        <v>297</v>
      </c>
      <c r="AG103" s="715" t="s">
        <v>402</v>
      </c>
    </row>
    <row r="104" spans="28:34" ht="17.100000000000001" customHeight="1" x14ac:dyDescent="0.2">
      <c r="AB104" s="715" t="s">
        <v>410</v>
      </c>
      <c r="AD104" s="715">
        <v>2</v>
      </c>
      <c r="AE104" s="715" t="s">
        <v>297</v>
      </c>
      <c r="AG104" s="715" t="s">
        <v>403</v>
      </c>
    </row>
    <row r="105" spans="28:34" ht="17.100000000000001" customHeight="1" x14ac:dyDescent="0.2">
      <c r="AB105" s="715" t="s">
        <v>385</v>
      </c>
      <c r="AD105" s="715">
        <v>2</v>
      </c>
      <c r="AE105" s="715" t="s">
        <v>297</v>
      </c>
      <c r="AG105" s="715" t="s">
        <v>408</v>
      </c>
    </row>
    <row r="106" spans="28:34" ht="14.25" x14ac:dyDescent="0.2">
      <c r="AB106" s="1162" t="s">
        <v>396</v>
      </c>
      <c r="AD106" s="715">
        <v>2</v>
      </c>
      <c r="AE106" s="715" t="s">
        <v>297</v>
      </c>
      <c r="AG106" s="715" t="s">
        <v>402</v>
      </c>
    </row>
    <row r="107" spans="28:34" ht="14.25" x14ac:dyDescent="0.2">
      <c r="AB107" s="1162" t="s">
        <v>397</v>
      </c>
      <c r="AD107" s="715">
        <v>0</v>
      </c>
      <c r="AE107" s="715" t="s">
        <v>297</v>
      </c>
      <c r="AG107" s="715" t="s">
        <v>403</v>
      </c>
    </row>
    <row r="108" spans="28:34" x14ac:dyDescent="0.2">
      <c r="AB108" s="715" t="s">
        <v>398</v>
      </c>
      <c r="AD108" s="715">
        <v>20</v>
      </c>
      <c r="AE108" s="715" t="s">
        <v>297</v>
      </c>
      <c r="AG108" s="715" t="s">
        <v>403</v>
      </c>
    </row>
    <row r="109" spans="28:34" x14ac:dyDescent="0.2">
      <c r="AB109" s="715" t="s">
        <v>384</v>
      </c>
      <c r="AD109" s="715">
        <v>10</v>
      </c>
      <c r="AE109" s="715" t="s">
        <v>297</v>
      </c>
      <c r="AG109" s="715" t="s">
        <v>404</v>
      </c>
    </row>
    <row r="110" spans="28:34" x14ac:dyDescent="0.2">
      <c r="AB110" s="715" t="s">
        <v>407</v>
      </c>
      <c r="AD110" s="1115">
        <v>5</v>
      </c>
      <c r="AE110" s="715" t="s">
        <v>297</v>
      </c>
    </row>
    <row r="111" spans="28:34" x14ac:dyDescent="0.2">
      <c r="AC111" s="1163" t="s">
        <v>110</v>
      </c>
      <c r="AD111" s="1163">
        <f>SUM(AD102:AD110)</f>
        <v>44</v>
      </c>
      <c r="AE111" s="1163" t="s">
        <v>297</v>
      </c>
    </row>
    <row r="112" spans="28:34" x14ac:dyDescent="0.2">
      <c r="AG112" s="715" t="s">
        <v>305</v>
      </c>
      <c r="AH112" s="715">
        <v>2</v>
      </c>
    </row>
    <row r="113" spans="28:34" x14ac:dyDescent="0.2">
      <c r="AC113" s="1164" t="s">
        <v>387</v>
      </c>
      <c r="AD113" s="1164">
        <f>AD87+AD111+AE31+AE32</f>
        <v>88</v>
      </c>
      <c r="AE113" s="1164" t="s">
        <v>297</v>
      </c>
      <c r="AG113" s="715" t="s">
        <v>405</v>
      </c>
      <c r="AH113" s="1115">
        <f>AD111+AD87</f>
        <v>86</v>
      </c>
    </row>
    <row r="114" spans="28:34" x14ac:dyDescent="0.2">
      <c r="AH114" s="715">
        <f>SUM(AH112:AH113)</f>
        <v>88</v>
      </c>
    </row>
    <row r="115" spans="28:34" x14ac:dyDescent="0.2">
      <c r="AG115" s="715" t="s">
        <v>406</v>
      </c>
      <c r="AH115" s="715">
        <v>10</v>
      </c>
    </row>
    <row r="116" spans="28:34" x14ac:dyDescent="0.2">
      <c r="AG116" s="715" t="s">
        <v>365</v>
      </c>
      <c r="AH116" s="715">
        <v>128</v>
      </c>
    </row>
    <row r="117" spans="28:34" x14ac:dyDescent="0.2">
      <c r="AG117" s="715" t="s">
        <v>414</v>
      </c>
      <c r="AH117" s="715">
        <f>AH114+AH115+AH116</f>
        <v>226</v>
      </c>
    </row>
    <row r="119" spans="28:34" ht="14.25" x14ac:dyDescent="0.2">
      <c r="AB119" s="1165"/>
      <c r="AC119" s="1166">
        <f>64*150000*3</f>
        <v>28800000</v>
      </c>
      <c r="AD119" s="1165" t="s">
        <v>374</v>
      </c>
    </row>
    <row r="120" spans="28:34" ht="14.25" x14ac:dyDescent="0.2">
      <c r="AB120" s="1162"/>
      <c r="AC120" s="1167">
        <f>40*21000*300*2</f>
        <v>504000000</v>
      </c>
      <c r="AD120" s="1162" t="s">
        <v>375</v>
      </c>
    </row>
    <row r="121" spans="28:34" ht="14.25" x14ac:dyDescent="0.2">
      <c r="AB121" s="1162">
        <v>2</v>
      </c>
      <c r="AC121" s="1167">
        <f>1200000*2</f>
        <v>2400000</v>
      </c>
      <c r="AD121" s="1162" t="s">
        <v>376</v>
      </c>
    </row>
    <row r="122" spans="28:34" ht="14.25" x14ac:dyDescent="0.2">
      <c r="AB122" s="1162">
        <v>2</v>
      </c>
      <c r="AC122" s="1167">
        <f>2500000*2</f>
        <v>5000000</v>
      </c>
      <c r="AD122" s="1162" t="s">
        <v>377</v>
      </c>
    </row>
    <row r="123" spans="28:34" ht="14.25" x14ac:dyDescent="0.2">
      <c r="AB123" s="1162">
        <v>40</v>
      </c>
      <c r="AC123" s="1167">
        <f>1500000*40</f>
        <v>60000000</v>
      </c>
      <c r="AD123" s="1162" t="s">
        <v>378</v>
      </c>
    </row>
    <row r="124" spans="28:34" ht="14.25" x14ac:dyDescent="0.2">
      <c r="AB124" s="1162">
        <v>10</v>
      </c>
      <c r="AC124" s="1167">
        <f>1200000*10</f>
        <v>12000000</v>
      </c>
      <c r="AD124" s="1162" t="s">
        <v>379</v>
      </c>
    </row>
    <row r="125" spans="28:34" ht="14.25" x14ac:dyDescent="0.2">
      <c r="AB125" s="1162">
        <v>4</v>
      </c>
      <c r="AC125" s="1167">
        <f>4*2500000</f>
        <v>10000000</v>
      </c>
      <c r="AD125" s="1162" t="s">
        <v>380</v>
      </c>
    </row>
    <row r="126" spans="28:34" ht="14.25" x14ac:dyDescent="0.2">
      <c r="AB126" s="1162">
        <v>5</v>
      </c>
      <c r="AC126" s="1167">
        <f>5*2500000</f>
        <v>12500000</v>
      </c>
      <c r="AD126" s="1162" t="s">
        <v>381</v>
      </c>
    </row>
    <row r="127" spans="28:34" ht="14.25" x14ac:dyDescent="0.2">
      <c r="AB127" s="1162">
        <v>1</v>
      </c>
      <c r="AC127" s="1167">
        <v>3700000</v>
      </c>
      <c r="AD127" s="1162" t="s">
        <v>382</v>
      </c>
    </row>
    <row r="128" spans="28:34" ht="14.25" x14ac:dyDescent="0.2">
      <c r="AB128" s="1162"/>
      <c r="AC128" s="1168">
        <f>SUM(AC121:AC127)</f>
        <v>105600000</v>
      </c>
      <c r="AD128" s="1162"/>
    </row>
    <row r="129" spans="28:30" ht="14.25" x14ac:dyDescent="0.2">
      <c r="AB129" s="1169">
        <f>SUM(AB121:AB128)</f>
        <v>64</v>
      </c>
      <c r="AC129" s="1170">
        <f>SUM(AC122:AC128)</f>
        <v>208800000</v>
      </c>
      <c r="AD129" s="1162"/>
    </row>
    <row r="130" spans="28:30" ht="14.25" x14ac:dyDescent="0.2">
      <c r="AB130" s="1169"/>
      <c r="AC130" s="1170">
        <f>AC129+AC120+AC119</f>
        <v>741600000</v>
      </c>
      <c r="AD130" s="1162" t="s">
        <v>383</v>
      </c>
    </row>
  </sheetData>
  <mergeCells count="88">
    <mergeCell ref="B29:K29"/>
    <mergeCell ref="M79:P79"/>
    <mergeCell ref="B20:K20"/>
    <mergeCell ref="B27:K27"/>
    <mergeCell ref="B25:K25"/>
    <mergeCell ref="B26:K26"/>
    <mergeCell ref="B28:K28"/>
    <mergeCell ref="B21:P21"/>
    <mergeCell ref="M26:M28"/>
    <mergeCell ref="N26:N28"/>
    <mergeCell ref="O26:O28"/>
    <mergeCell ref="M25:O25"/>
    <mergeCell ref="L25:L28"/>
    <mergeCell ref="B24:P24"/>
    <mergeCell ref="L20:N20"/>
    <mergeCell ref="O20:P20"/>
    <mergeCell ref="B23:P23"/>
    <mergeCell ref="O16:P16"/>
    <mergeCell ref="L17:N17"/>
    <mergeCell ref="O17:P17"/>
    <mergeCell ref="B18:K18"/>
    <mergeCell ref="L18:N18"/>
    <mergeCell ref="O18:P18"/>
    <mergeCell ref="B19:K19"/>
    <mergeCell ref="L19:N19"/>
    <mergeCell ref="O19:P19"/>
    <mergeCell ref="B17:K17"/>
    <mergeCell ref="B12:K12"/>
    <mergeCell ref="B16:K16"/>
    <mergeCell ref="L16:N16"/>
    <mergeCell ref="B22:P22"/>
    <mergeCell ref="B6:K6"/>
    <mergeCell ref="M6:P6"/>
    <mergeCell ref="B7:K7"/>
    <mergeCell ref="M7:P7"/>
    <mergeCell ref="B8:K8"/>
    <mergeCell ref="B15:P15"/>
    <mergeCell ref="B9:K9"/>
    <mergeCell ref="B11:K11"/>
    <mergeCell ref="L11:P11"/>
    <mergeCell ref="B13:K13"/>
    <mergeCell ref="B14:K14"/>
    <mergeCell ref="M9:P9"/>
    <mergeCell ref="F2:O2"/>
    <mergeCell ref="P2:P3"/>
    <mergeCell ref="F3:O3"/>
    <mergeCell ref="B4:O4"/>
    <mergeCell ref="P4:P5"/>
    <mergeCell ref="B5:O5"/>
    <mergeCell ref="AN51:AO51"/>
    <mergeCell ref="AN53:AO53"/>
    <mergeCell ref="AB53:AC53"/>
    <mergeCell ref="N81:P81"/>
    <mergeCell ref="AB51:AC51"/>
    <mergeCell ref="M77:P77"/>
    <mergeCell ref="M74:P74"/>
    <mergeCell ref="M75:P75"/>
    <mergeCell ref="M80:P80"/>
    <mergeCell ref="B92:C92"/>
    <mergeCell ref="AB30:AE30"/>
    <mergeCell ref="M78:P78"/>
    <mergeCell ref="M73:P73"/>
    <mergeCell ref="B86:P86"/>
    <mergeCell ref="B87:C87"/>
    <mergeCell ref="B88:C88"/>
    <mergeCell ref="B89:C89"/>
    <mergeCell ref="B93:C93"/>
    <mergeCell ref="B94:C94"/>
    <mergeCell ref="M71:O71"/>
    <mergeCell ref="B80:L80"/>
    <mergeCell ref="B81:L81"/>
    <mergeCell ref="B82:L82"/>
    <mergeCell ref="N82:P82"/>
    <mergeCell ref="B83:P83"/>
    <mergeCell ref="B84:P84"/>
    <mergeCell ref="B85:P85"/>
    <mergeCell ref="D87:L87"/>
    <mergeCell ref="M87:N87"/>
    <mergeCell ref="D88:L88"/>
    <mergeCell ref="M88:N88"/>
    <mergeCell ref="B90:C90"/>
    <mergeCell ref="B91:C91"/>
    <mergeCell ref="M94:N94"/>
    <mergeCell ref="M89:N89"/>
    <mergeCell ref="M90:N90"/>
    <mergeCell ref="M91:N91"/>
    <mergeCell ref="M92:N92"/>
    <mergeCell ref="M93:N93"/>
  </mergeCells>
  <phoneticPr fontId="14" type="noConversion"/>
  <pageMargins left="0.82" right="0.23622047244094499" top="0.43" bottom="0.35433070866141703" header="0.27559055118110198" footer="0.31496062992126"/>
  <pageSetup paperSize="5" scale="72" orientation="portrait" horizontalDpi="4294967294" verticalDpi="4294967294"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W72"/>
  <sheetViews>
    <sheetView view="pageBreakPreview" topLeftCell="A25" zoomScale="90" zoomScaleNormal="120" zoomScaleSheetLayoutView="90" workbookViewId="0">
      <selection activeCell="P45" sqref="P45"/>
    </sheetView>
  </sheetViews>
  <sheetFormatPr defaultColWidth="8.7109375" defaultRowHeight="12.75" x14ac:dyDescent="0.2"/>
  <cols>
    <col min="1" max="1" width="4.7109375" style="715" customWidth="1"/>
    <col min="2" max="10" width="2.7109375" style="715" customWidth="1"/>
    <col min="11" max="11" width="3.140625" style="715" customWidth="1"/>
    <col min="12" max="12" width="47.5703125" style="715" customWidth="1"/>
    <col min="13" max="13" width="13.42578125" style="715" customWidth="1"/>
    <col min="14" max="14" width="8.5703125" style="715" customWidth="1"/>
    <col min="15" max="15" width="13.5703125" style="715" customWidth="1"/>
    <col min="16" max="17" width="16.5703125" style="715" customWidth="1"/>
    <col min="18" max="19" width="15" style="715" bestFit="1" customWidth="1"/>
    <col min="20" max="16384" width="8.7109375" style="715"/>
  </cols>
  <sheetData>
    <row r="1" spans="2:17" ht="18" customHeight="1" thickBot="1" x14ac:dyDescent="0.25"/>
    <row r="2" spans="2:17" s="716" customFormat="1" ht="18.95" customHeight="1" thickTop="1" x14ac:dyDescent="0.2">
      <c r="B2" s="72"/>
      <c r="C2" s="73"/>
      <c r="D2" s="73"/>
      <c r="E2" s="73"/>
      <c r="F2" s="2174" t="s">
        <v>182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182" t="s">
        <v>33</v>
      </c>
      <c r="C4" s="2183"/>
      <c r="D4" s="2183"/>
      <c r="E4" s="2183"/>
      <c r="F4" s="2183"/>
      <c r="G4" s="2183"/>
      <c r="H4" s="2183"/>
      <c r="I4" s="2183"/>
      <c r="J4" s="2183"/>
      <c r="K4" s="2183"/>
      <c r="L4" s="2183"/>
      <c r="M4" s="2183"/>
      <c r="N4" s="2183"/>
      <c r="O4" s="2604"/>
      <c r="P4" s="2605"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606"/>
      <c r="Q5" s="2040"/>
    </row>
    <row r="6" spans="2:17" ht="12.95" customHeight="1" x14ac:dyDescent="0.2">
      <c r="B6" s="2462" t="s">
        <v>453</v>
      </c>
      <c r="C6" s="2463"/>
      <c r="D6" s="2463"/>
      <c r="E6" s="2463"/>
      <c r="F6" s="2463"/>
      <c r="G6" s="2463"/>
      <c r="H6" s="2463"/>
      <c r="I6" s="2463"/>
      <c r="J6" s="2463"/>
      <c r="K6" s="2463"/>
      <c r="L6" s="1068" t="s">
        <v>442</v>
      </c>
      <c r="M6" s="2213" t="s">
        <v>437</v>
      </c>
      <c r="N6" s="2213"/>
      <c r="O6" s="2213"/>
      <c r="P6" s="2214"/>
      <c r="Q6" s="296"/>
    </row>
    <row r="7" spans="2:17" ht="12.95" customHeight="1" x14ac:dyDescent="0.2">
      <c r="B7" s="2471" t="s">
        <v>19</v>
      </c>
      <c r="C7" s="2355"/>
      <c r="D7" s="2355"/>
      <c r="E7" s="2355"/>
      <c r="F7" s="2355"/>
      <c r="G7" s="2355"/>
      <c r="H7" s="2355"/>
      <c r="I7" s="2355"/>
      <c r="J7" s="2355"/>
      <c r="K7" s="2355"/>
      <c r="L7" s="1066" t="s">
        <v>441</v>
      </c>
      <c r="M7" s="2541" t="s">
        <v>466</v>
      </c>
      <c r="N7" s="2541"/>
      <c r="O7" s="2541"/>
      <c r="P7" s="2542"/>
      <c r="Q7" s="512"/>
    </row>
    <row r="8" spans="2:17" ht="12.95" customHeight="1" x14ac:dyDescent="0.2">
      <c r="B8" s="2471" t="s">
        <v>32</v>
      </c>
      <c r="C8" s="2355"/>
      <c r="D8" s="2355"/>
      <c r="E8" s="2355"/>
      <c r="F8" s="2355"/>
      <c r="G8" s="2355"/>
      <c r="H8" s="2355"/>
      <c r="I8" s="2355"/>
      <c r="J8" s="2355"/>
      <c r="K8" s="2355"/>
      <c r="L8" s="1066" t="s">
        <v>454</v>
      </c>
      <c r="M8" s="29" t="s">
        <v>156</v>
      </c>
      <c r="N8" s="30"/>
      <c r="O8" s="30"/>
      <c r="P8" s="75"/>
      <c r="Q8" s="2054"/>
    </row>
    <row r="9" spans="2:17" s="717" customFormat="1" ht="12.95" customHeight="1" x14ac:dyDescent="0.2">
      <c r="B9" s="2571" t="s">
        <v>20</v>
      </c>
      <c r="C9" s="2548"/>
      <c r="D9" s="2548"/>
      <c r="E9" s="2548"/>
      <c r="F9" s="2548"/>
      <c r="G9" s="2548"/>
      <c r="H9" s="2548"/>
      <c r="I9" s="2548"/>
      <c r="J9" s="2548"/>
      <c r="K9" s="2548"/>
      <c r="L9" s="34" t="s">
        <v>465</v>
      </c>
      <c r="M9" s="29" t="s">
        <v>464</v>
      </c>
      <c r="N9" s="29"/>
      <c r="O9" s="29"/>
      <c r="P9" s="76"/>
      <c r="Q9" s="2043"/>
    </row>
    <row r="10" spans="2:17" s="717" customFormat="1" ht="12.95" customHeight="1" x14ac:dyDescent="0.2">
      <c r="B10" s="1069"/>
      <c r="C10" s="1070"/>
      <c r="D10" s="1070"/>
      <c r="E10" s="1070"/>
      <c r="F10" s="1070"/>
      <c r="G10" s="1070"/>
      <c r="H10" s="1070"/>
      <c r="I10" s="1070"/>
      <c r="J10" s="1070"/>
      <c r="K10" s="1070"/>
      <c r="L10" s="1066"/>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0</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8" t="s">
        <v>226</v>
      </c>
      <c r="M16" s="2289"/>
      <c r="N16" s="2480"/>
      <c r="O16" s="2607" t="s">
        <v>227</v>
      </c>
      <c r="P16" s="2290"/>
      <c r="Q16" s="520"/>
    </row>
    <row r="17" spans="2:18" ht="12.95" customHeight="1" x14ac:dyDescent="0.2">
      <c r="B17" s="2454" t="s">
        <v>37</v>
      </c>
      <c r="C17" s="2286"/>
      <c r="D17" s="2286"/>
      <c r="E17" s="2286"/>
      <c r="F17" s="2286"/>
      <c r="G17" s="2286"/>
      <c r="H17" s="2286"/>
      <c r="I17" s="2286"/>
      <c r="J17" s="2286"/>
      <c r="K17" s="2455"/>
      <c r="L17" s="2227" t="s">
        <v>709</v>
      </c>
      <c r="M17" s="2228"/>
      <c r="N17" s="2577"/>
      <c r="O17" s="2608">
        <v>1</v>
      </c>
      <c r="P17" s="2609"/>
      <c r="Q17" s="2096"/>
    </row>
    <row r="18" spans="2:18" ht="12.95" customHeight="1" x14ac:dyDescent="0.2">
      <c r="B18" s="2454" t="s">
        <v>228</v>
      </c>
      <c r="C18" s="2286"/>
      <c r="D18" s="2286"/>
      <c r="E18" s="2286"/>
      <c r="F18" s="2286"/>
      <c r="G18" s="2286"/>
      <c r="H18" s="2286"/>
      <c r="I18" s="2286"/>
      <c r="J18" s="2286"/>
      <c r="K18" s="2455"/>
      <c r="L18" s="2227" t="s">
        <v>287</v>
      </c>
      <c r="M18" s="2228"/>
      <c r="N18" s="2577"/>
      <c r="O18" s="2610">
        <f>P30</f>
        <v>0</v>
      </c>
      <c r="P18" s="2611"/>
      <c r="Q18" s="2097"/>
    </row>
    <row r="19" spans="2:18" ht="12.95" customHeight="1" x14ac:dyDescent="0.2">
      <c r="B19" s="2454" t="s">
        <v>229</v>
      </c>
      <c r="C19" s="2286"/>
      <c r="D19" s="2286"/>
      <c r="E19" s="2286"/>
      <c r="F19" s="2286"/>
      <c r="G19" s="2286"/>
      <c r="H19" s="2286"/>
      <c r="I19" s="2286"/>
      <c r="J19" s="2286"/>
      <c r="K19" s="2455"/>
      <c r="L19" s="2227" t="s">
        <v>688</v>
      </c>
      <c r="M19" s="2228"/>
      <c r="N19" s="2577"/>
      <c r="O19" s="2608" t="s">
        <v>1120</v>
      </c>
      <c r="P19" s="2609"/>
      <c r="Q19" s="2096"/>
    </row>
    <row r="20" spans="2:18" ht="12.95" customHeight="1" x14ac:dyDescent="0.2">
      <c r="B20" s="2454" t="s">
        <v>230</v>
      </c>
      <c r="C20" s="2286"/>
      <c r="D20" s="2286"/>
      <c r="E20" s="2286"/>
      <c r="F20" s="2286"/>
      <c r="G20" s="2286"/>
      <c r="H20" s="2286"/>
      <c r="I20" s="2286"/>
      <c r="J20" s="2286"/>
      <c r="K20" s="2455"/>
      <c r="L20" s="2227" t="s">
        <v>710</v>
      </c>
      <c r="M20" s="2228"/>
      <c r="N20" s="2577"/>
      <c r="O20" s="2608">
        <v>1</v>
      </c>
      <c r="P20" s="2609"/>
      <c r="Q20" s="2096"/>
    </row>
    <row r="21" spans="2:18" ht="6.95" customHeight="1" x14ac:dyDescent="0.2">
      <c r="B21" s="2445"/>
      <c r="C21" s="2446"/>
      <c r="D21" s="2446"/>
      <c r="E21" s="2446"/>
      <c r="F21" s="2446"/>
      <c r="G21" s="2446"/>
      <c r="H21" s="2446"/>
      <c r="I21" s="2446"/>
      <c r="J21" s="2446"/>
      <c r="K21" s="2446"/>
      <c r="L21" s="2446"/>
      <c r="M21" s="2446"/>
      <c r="N21" s="2446"/>
      <c r="O21" s="2446"/>
      <c r="P21" s="2447"/>
      <c r="Q21" s="2046"/>
    </row>
    <row r="22" spans="2:18" ht="12.95" customHeight="1" x14ac:dyDescent="0.2">
      <c r="B22" s="2215" t="s">
        <v>178</v>
      </c>
      <c r="C22" s="2216"/>
      <c r="D22" s="2216"/>
      <c r="E22" s="2216"/>
      <c r="F22" s="2216"/>
      <c r="G22" s="2216"/>
      <c r="H22" s="2216"/>
      <c r="I22" s="2216"/>
      <c r="J22" s="2216"/>
      <c r="K22" s="2216"/>
      <c r="L22" s="2216"/>
      <c r="M22" s="2216"/>
      <c r="N22" s="2216"/>
      <c r="O22" s="2216"/>
      <c r="P22" s="2486"/>
      <c r="Q22" s="2022"/>
    </row>
    <row r="23" spans="2:18" ht="12.95" customHeight="1" x14ac:dyDescent="0.2">
      <c r="B23" s="2487" t="s">
        <v>231</v>
      </c>
      <c r="C23" s="2488"/>
      <c r="D23" s="2488"/>
      <c r="E23" s="2488"/>
      <c r="F23" s="2488"/>
      <c r="G23" s="2488"/>
      <c r="H23" s="2488"/>
      <c r="I23" s="2488"/>
      <c r="J23" s="2488"/>
      <c r="K23" s="2488"/>
      <c r="L23" s="2488"/>
      <c r="M23" s="2488"/>
      <c r="N23" s="2488"/>
      <c r="O23" s="2488"/>
      <c r="P23" s="2489"/>
      <c r="Q23" s="520"/>
    </row>
    <row r="24" spans="2:18" ht="12.95" customHeight="1" x14ac:dyDescent="0.2">
      <c r="B24" s="2490" t="s">
        <v>38</v>
      </c>
      <c r="C24" s="2491"/>
      <c r="D24" s="2491"/>
      <c r="E24" s="2491"/>
      <c r="F24" s="2491"/>
      <c r="G24" s="2491"/>
      <c r="H24" s="2491"/>
      <c r="I24" s="2491"/>
      <c r="J24" s="2491"/>
      <c r="K24" s="2491"/>
      <c r="L24" s="2491"/>
      <c r="M24" s="2491"/>
      <c r="N24" s="2491"/>
      <c r="O24" s="2491"/>
      <c r="P24" s="2492"/>
      <c r="Q24" s="520"/>
    </row>
    <row r="25" spans="2:18" ht="12.95" customHeight="1" x14ac:dyDescent="0.2">
      <c r="B25" s="2493"/>
      <c r="C25" s="2264"/>
      <c r="D25" s="2264"/>
      <c r="E25" s="2264"/>
      <c r="F25" s="2264"/>
      <c r="G25" s="2264"/>
      <c r="H25" s="2264"/>
      <c r="I25" s="2264"/>
      <c r="J25" s="2264"/>
      <c r="K25" s="2494"/>
      <c r="L25" s="2311" t="s">
        <v>191</v>
      </c>
      <c r="M25" s="2498" t="s">
        <v>198</v>
      </c>
      <c r="N25" s="2499"/>
      <c r="O25" s="2500"/>
      <c r="P25" s="718"/>
      <c r="Q25" s="730"/>
    </row>
    <row r="26" spans="2:18" ht="12.95" customHeight="1" x14ac:dyDescent="0.2">
      <c r="B26" s="2448" t="s">
        <v>189</v>
      </c>
      <c r="C26" s="2449"/>
      <c r="D26" s="2449"/>
      <c r="E26" s="2449"/>
      <c r="F26" s="2449"/>
      <c r="G26" s="2449"/>
      <c r="H26" s="2449"/>
      <c r="I26" s="2449"/>
      <c r="J26" s="2449"/>
      <c r="K26" s="2450"/>
      <c r="L26" s="2405"/>
      <c r="M26" s="2399" t="s">
        <v>200</v>
      </c>
      <c r="N26" s="2311" t="s">
        <v>26</v>
      </c>
      <c r="O26" s="2603" t="s">
        <v>217</v>
      </c>
      <c r="P26" s="78" t="s">
        <v>192</v>
      </c>
      <c r="Q26" s="2027"/>
    </row>
    <row r="27" spans="2:18" ht="12.95" customHeight="1" x14ac:dyDescent="0.2">
      <c r="B27" s="2448" t="s">
        <v>197</v>
      </c>
      <c r="C27" s="2449"/>
      <c r="D27" s="2449"/>
      <c r="E27" s="2449"/>
      <c r="F27" s="2449"/>
      <c r="G27" s="2449"/>
      <c r="H27" s="2449"/>
      <c r="I27" s="2449"/>
      <c r="J27" s="2449"/>
      <c r="K27" s="2450"/>
      <c r="L27" s="2405"/>
      <c r="M27" s="2496"/>
      <c r="N27" s="2405"/>
      <c r="O27" s="2405"/>
      <c r="P27" s="78" t="s">
        <v>193</v>
      </c>
      <c r="Q27" s="2027"/>
    </row>
    <row r="28" spans="2:18" ht="12.95" customHeight="1" x14ac:dyDescent="0.2">
      <c r="B28" s="2451"/>
      <c r="C28" s="2452"/>
      <c r="D28" s="2452"/>
      <c r="E28" s="2452"/>
      <c r="F28" s="2452"/>
      <c r="G28" s="2452"/>
      <c r="H28" s="2452"/>
      <c r="I28" s="2452"/>
      <c r="J28" s="2452"/>
      <c r="K28" s="2453"/>
      <c r="L28" s="2406"/>
      <c r="M28" s="2497"/>
      <c r="N28" s="2406"/>
      <c r="O28" s="2406"/>
      <c r="P28" s="719"/>
      <c r="Q28" s="2047"/>
    </row>
    <row r="29" spans="2:18" ht="12.95" customHeight="1" thickBot="1" x14ac:dyDescent="0.25">
      <c r="B29" s="2483">
        <v>1</v>
      </c>
      <c r="C29" s="2484"/>
      <c r="D29" s="2484"/>
      <c r="E29" s="2484"/>
      <c r="F29" s="2484"/>
      <c r="G29" s="2484"/>
      <c r="H29" s="2484"/>
      <c r="I29" s="2484"/>
      <c r="J29" s="2484"/>
      <c r="K29" s="2485"/>
      <c r="L29" s="1077">
        <v>2</v>
      </c>
      <c r="M29" s="1077">
        <v>3</v>
      </c>
      <c r="N29" s="1077">
        <v>4</v>
      </c>
      <c r="O29" s="12">
        <v>5</v>
      </c>
      <c r="P29" s="79" t="s">
        <v>24</v>
      </c>
      <c r="Q29" s="2027"/>
    </row>
    <row r="30" spans="2:18" ht="12.95" customHeight="1" thickTop="1" x14ac:dyDescent="0.2">
      <c r="B30" s="80">
        <v>1</v>
      </c>
      <c r="C30" s="33" t="s">
        <v>440</v>
      </c>
      <c r="D30" s="33" t="s">
        <v>142</v>
      </c>
      <c r="E30" s="59"/>
      <c r="F30" s="1079"/>
      <c r="G30" s="46">
        <v>5</v>
      </c>
      <c r="H30" s="46">
        <v>2</v>
      </c>
      <c r="I30" s="1079"/>
      <c r="J30" s="1079"/>
      <c r="K30" s="1079"/>
      <c r="L30" s="28" t="s">
        <v>108</v>
      </c>
      <c r="M30" s="16"/>
      <c r="N30" s="16"/>
      <c r="O30" s="18"/>
      <c r="P30" s="259">
        <f>P31</f>
        <v>0</v>
      </c>
      <c r="Q30" s="301">
        <v>100800000</v>
      </c>
      <c r="R30" s="782">
        <f>L12</f>
        <v>0</v>
      </c>
    </row>
    <row r="31" spans="2:18" ht="12.95" customHeight="1" x14ac:dyDescent="0.2">
      <c r="B31" s="80">
        <v>1</v>
      </c>
      <c r="C31" s="33" t="s">
        <v>440</v>
      </c>
      <c r="D31" s="33" t="s">
        <v>142</v>
      </c>
      <c r="E31" s="60" t="s">
        <v>145</v>
      </c>
      <c r="F31" s="1079"/>
      <c r="G31" s="46"/>
      <c r="H31" s="46"/>
      <c r="I31" s="1079"/>
      <c r="J31" s="1079"/>
      <c r="K31" s="1079"/>
      <c r="L31" s="96" t="s">
        <v>154</v>
      </c>
      <c r="M31" s="1412"/>
      <c r="N31" s="16"/>
      <c r="O31" s="18"/>
      <c r="P31" s="259">
        <f>P32</f>
        <v>0</v>
      </c>
      <c r="Q31" s="301"/>
      <c r="R31" s="720">
        <f>P30-R30</f>
        <v>0</v>
      </c>
    </row>
    <row r="32" spans="2:18" ht="12.95" customHeight="1" x14ac:dyDescent="0.2">
      <c r="B32" s="80">
        <v>1</v>
      </c>
      <c r="C32" s="33" t="s">
        <v>440</v>
      </c>
      <c r="D32" s="33" t="s">
        <v>142</v>
      </c>
      <c r="E32" s="60" t="s">
        <v>145</v>
      </c>
      <c r="F32" s="33" t="s">
        <v>155</v>
      </c>
      <c r="G32" s="46"/>
      <c r="H32" s="46"/>
      <c r="I32" s="1079"/>
      <c r="J32" s="1079"/>
      <c r="K32" s="33"/>
      <c r="L32" s="64" t="s">
        <v>425</v>
      </c>
      <c r="M32" s="1415"/>
      <c r="N32" s="50"/>
      <c r="O32" s="50"/>
      <c r="P32" s="259">
        <f>P34</f>
        <v>0</v>
      </c>
      <c r="Q32" s="301"/>
    </row>
    <row r="33" spans="2:20" ht="12.95" customHeight="1" x14ac:dyDescent="0.2">
      <c r="B33" s="80"/>
      <c r="C33" s="33"/>
      <c r="D33" s="33"/>
      <c r="E33" s="60"/>
      <c r="F33" s="33"/>
      <c r="G33" s="46"/>
      <c r="H33" s="46"/>
      <c r="I33" s="1079"/>
      <c r="J33" s="1079"/>
      <c r="K33" s="33"/>
      <c r="L33" s="493"/>
      <c r="M33" s="1387"/>
      <c r="N33" s="100"/>
      <c r="O33" s="101"/>
      <c r="P33" s="259"/>
      <c r="Q33" s="301"/>
    </row>
    <row r="34" spans="2:20" ht="12.95" customHeight="1" x14ac:dyDescent="0.2">
      <c r="B34" s="80">
        <v>1</v>
      </c>
      <c r="C34" s="33" t="s">
        <v>440</v>
      </c>
      <c r="D34" s="33" t="s">
        <v>142</v>
      </c>
      <c r="E34" s="60" t="s">
        <v>145</v>
      </c>
      <c r="F34" s="33" t="s">
        <v>155</v>
      </c>
      <c r="G34" s="46">
        <v>5</v>
      </c>
      <c r="H34" s="46">
        <v>2</v>
      </c>
      <c r="I34" s="1079">
        <v>3</v>
      </c>
      <c r="J34" s="33"/>
      <c r="K34" s="1079"/>
      <c r="L34" s="25" t="s">
        <v>153</v>
      </c>
      <c r="M34" s="1122"/>
      <c r="N34" s="185"/>
      <c r="O34" s="262"/>
      <c r="P34" s="89">
        <f>SUM(P35+P41)-P47</f>
        <v>0</v>
      </c>
      <c r="Q34" s="2049"/>
    </row>
    <row r="35" spans="2:20" ht="12.95" customHeight="1" x14ac:dyDescent="0.2">
      <c r="B35" s="80">
        <v>1</v>
      </c>
      <c r="C35" s="33" t="s">
        <v>440</v>
      </c>
      <c r="D35" s="33" t="s">
        <v>142</v>
      </c>
      <c r="E35" s="60" t="s">
        <v>145</v>
      </c>
      <c r="F35" s="33" t="s">
        <v>155</v>
      </c>
      <c r="G35" s="46">
        <v>5</v>
      </c>
      <c r="H35" s="46">
        <v>2</v>
      </c>
      <c r="I35" s="1079">
        <v>3</v>
      </c>
      <c r="J35" s="33">
        <v>12</v>
      </c>
      <c r="K35" s="1079"/>
      <c r="L35" s="401" t="s">
        <v>422</v>
      </c>
      <c r="M35" s="1417"/>
      <c r="N35" s="1173"/>
      <c r="O35" s="1174"/>
      <c r="P35" s="637">
        <f>SUM(P36+P38)</f>
        <v>0</v>
      </c>
      <c r="Q35" s="2098"/>
    </row>
    <row r="36" spans="2:20" ht="12.95" customHeight="1" x14ac:dyDescent="0.2">
      <c r="B36" s="80">
        <v>1</v>
      </c>
      <c r="C36" s="33" t="s">
        <v>440</v>
      </c>
      <c r="D36" s="33" t="s">
        <v>142</v>
      </c>
      <c r="E36" s="60" t="s">
        <v>145</v>
      </c>
      <c r="F36" s="33" t="s">
        <v>155</v>
      </c>
      <c r="G36" s="46">
        <v>5</v>
      </c>
      <c r="H36" s="46">
        <v>2</v>
      </c>
      <c r="I36" s="1079">
        <v>3</v>
      </c>
      <c r="J36" s="33">
        <v>12</v>
      </c>
      <c r="K36" s="33" t="s">
        <v>145</v>
      </c>
      <c r="L36" s="316" t="s">
        <v>426</v>
      </c>
      <c r="M36" s="1417"/>
      <c r="N36" s="1175"/>
      <c r="O36" s="1176"/>
      <c r="P36" s="636">
        <f>SUM(P37:P37)</f>
        <v>0</v>
      </c>
      <c r="Q36" s="2099"/>
    </row>
    <row r="37" spans="2:20" ht="42.6" customHeight="1" x14ac:dyDescent="0.2">
      <c r="B37" s="80"/>
      <c r="C37" s="33"/>
      <c r="D37" s="33"/>
      <c r="E37" s="60"/>
      <c r="F37" s="33"/>
      <c r="G37" s="46"/>
      <c r="H37" s="46"/>
      <c r="I37" s="1079"/>
      <c r="J37" s="33"/>
      <c r="K37" s="1079"/>
      <c r="L37" s="1732" t="s">
        <v>936</v>
      </c>
      <c r="M37" s="1733">
        <v>1</v>
      </c>
      <c r="N37" s="1734" t="s">
        <v>116</v>
      </c>
      <c r="O37" s="1735">
        <v>0</v>
      </c>
      <c r="P37" s="1736">
        <f>O37*M37</f>
        <v>0</v>
      </c>
      <c r="Q37" s="2100"/>
      <c r="S37" s="1654"/>
    </row>
    <row r="38" spans="2:20" ht="12.95" customHeight="1" x14ac:dyDescent="0.2">
      <c r="B38" s="80">
        <v>1</v>
      </c>
      <c r="C38" s="33" t="s">
        <v>440</v>
      </c>
      <c r="D38" s="33" t="s">
        <v>142</v>
      </c>
      <c r="E38" s="60" t="s">
        <v>145</v>
      </c>
      <c r="F38" s="33" t="s">
        <v>155</v>
      </c>
      <c r="G38" s="46">
        <v>5</v>
      </c>
      <c r="H38" s="46">
        <v>2</v>
      </c>
      <c r="I38" s="1079">
        <v>3</v>
      </c>
      <c r="J38" s="33">
        <v>12</v>
      </c>
      <c r="K38" s="33" t="s">
        <v>164</v>
      </c>
      <c r="L38" s="400" t="s">
        <v>583</v>
      </c>
      <c r="M38" s="1418"/>
      <c r="N38" s="614"/>
      <c r="O38" s="1737"/>
      <c r="P38" s="616">
        <f>P39</f>
        <v>0</v>
      </c>
      <c r="Q38" s="2101"/>
    </row>
    <row r="39" spans="2:20" ht="12.95" customHeight="1" x14ac:dyDescent="0.2">
      <c r="B39" s="80"/>
      <c r="C39" s="33"/>
      <c r="D39" s="33"/>
      <c r="E39" s="60"/>
      <c r="F39" s="33"/>
      <c r="G39" s="46"/>
      <c r="H39" s="46"/>
      <c r="I39" s="1079"/>
      <c r="J39" s="33"/>
      <c r="K39" s="1079"/>
      <c r="L39" s="1738" t="s">
        <v>482</v>
      </c>
      <c r="M39" s="1418">
        <v>5</v>
      </c>
      <c r="N39" s="614" t="s">
        <v>116</v>
      </c>
      <c r="O39" s="615">
        <v>0</v>
      </c>
      <c r="P39" s="616">
        <f>O39*M39</f>
        <v>0</v>
      </c>
      <c r="Q39" s="2101"/>
      <c r="S39" s="715">
        <v>11500000</v>
      </c>
      <c r="T39" s="715">
        <f>0.2*S39+S39</f>
        <v>13800000</v>
      </c>
    </row>
    <row r="40" spans="2:20" ht="12.95" customHeight="1" x14ac:dyDescent="0.2">
      <c r="B40" s="80"/>
      <c r="C40" s="33"/>
      <c r="D40" s="33"/>
      <c r="E40" s="60"/>
      <c r="F40" s="33"/>
      <c r="G40" s="46"/>
      <c r="H40" s="46"/>
      <c r="I40" s="1079"/>
      <c r="J40" s="33"/>
      <c r="K40" s="1079"/>
      <c r="L40" s="1738"/>
      <c r="M40" s="1418"/>
      <c r="N40" s="614"/>
      <c r="O40" s="615"/>
      <c r="P40" s="616"/>
      <c r="Q40" s="2101"/>
    </row>
    <row r="41" spans="2:20" ht="12.95" customHeight="1" x14ac:dyDescent="0.2">
      <c r="B41" s="355">
        <v>1</v>
      </c>
      <c r="C41" s="356" t="s">
        <v>440</v>
      </c>
      <c r="D41" s="356" t="s">
        <v>142</v>
      </c>
      <c r="E41" s="357" t="s">
        <v>145</v>
      </c>
      <c r="F41" s="356" t="s">
        <v>155</v>
      </c>
      <c r="G41" s="358">
        <v>5</v>
      </c>
      <c r="H41" s="358">
        <v>2</v>
      </c>
      <c r="I41" s="359">
        <v>3</v>
      </c>
      <c r="J41" s="356">
        <v>16</v>
      </c>
      <c r="K41" s="1079"/>
      <c r="L41" s="401" t="s">
        <v>1030</v>
      </c>
      <c r="M41" s="1417"/>
      <c r="N41" s="1173"/>
      <c r="O41" s="1174"/>
      <c r="P41" s="637">
        <f>P44+P42</f>
        <v>0</v>
      </c>
      <c r="Q41" s="2098"/>
    </row>
    <row r="42" spans="2:20" ht="12.95" customHeight="1" x14ac:dyDescent="0.2">
      <c r="B42" s="355">
        <v>1</v>
      </c>
      <c r="C42" s="356" t="s">
        <v>440</v>
      </c>
      <c r="D42" s="356" t="s">
        <v>142</v>
      </c>
      <c r="E42" s="357" t="s">
        <v>145</v>
      </c>
      <c r="F42" s="356" t="s">
        <v>155</v>
      </c>
      <c r="G42" s="358">
        <v>5</v>
      </c>
      <c r="H42" s="358">
        <v>2</v>
      </c>
      <c r="I42" s="359">
        <v>3</v>
      </c>
      <c r="J42" s="356">
        <v>16</v>
      </c>
      <c r="K42" s="356" t="s">
        <v>142</v>
      </c>
      <c r="L42" s="1739" t="s">
        <v>939</v>
      </c>
      <c r="M42" s="1418"/>
      <c r="N42" s="1511"/>
      <c r="O42" s="1513"/>
      <c r="P42" s="1512">
        <f>P43</f>
        <v>0</v>
      </c>
      <c r="Q42" s="2100"/>
    </row>
    <row r="43" spans="2:20" ht="12.95" customHeight="1" x14ac:dyDescent="0.2">
      <c r="B43" s="80"/>
      <c r="C43" s="33"/>
      <c r="D43" s="33"/>
      <c r="E43" s="60"/>
      <c r="F43" s="33"/>
      <c r="G43" s="46"/>
      <c r="H43" s="46"/>
      <c r="I43" s="1079"/>
      <c r="J43" s="33"/>
      <c r="K43" s="1079"/>
      <c r="L43" s="1740" t="s">
        <v>937</v>
      </c>
      <c r="M43" s="1418">
        <v>1</v>
      </c>
      <c r="N43" s="1511" t="s">
        <v>116</v>
      </c>
      <c r="O43" s="1741">
        <v>0</v>
      </c>
      <c r="P43" s="1512">
        <f>O43*M43</f>
        <v>0</v>
      </c>
      <c r="Q43" s="2100"/>
    </row>
    <row r="44" spans="2:20" ht="26.45" customHeight="1" x14ac:dyDescent="0.2">
      <c r="B44" s="355">
        <v>1</v>
      </c>
      <c r="C44" s="356" t="s">
        <v>440</v>
      </c>
      <c r="D44" s="356" t="s">
        <v>142</v>
      </c>
      <c r="E44" s="357" t="s">
        <v>145</v>
      </c>
      <c r="F44" s="356" t="s">
        <v>155</v>
      </c>
      <c r="G44" s="358">
        <v>5</v>
      </c>
      <c r="H44" s="358">
        <v>2</v>
      </c>
      <c r="I44" s="359">
        <v>3</v>
      </c>
      <c r="J44" s="356">
        <v>16</v>
      </c>
      <c r="K44" s="356" t="s">
        <v>181</v>
      </c>
      <c r="L44" s="1739" t="s">
        <v>1031</v>
      </c>
      <c r="M44" s="1418"/>
      <c r="N44" s="1511"/>
      <c r="O44" s="1513"/>
      <c r="P44" s="1512">
        <f>P45</f>
        <v>0</v>
      </c>
      <c r="Q44" s="2100"/>
    </row>
    <row r="45" spans="2:20" ht="12.95" customHeight="1" x14ac:dyDescent="0.2">
      <c r="B45" s="80"/>
      <c r="C45" s="33"/>
      <c r="D45" s="33"/>
      <c r="E45" s="60"/>
      <c r="F45" s="33"/>
      <c r="G45" s="46"/>
      <c r="H45" s="46"/>
      <c r="I45" s="1079"/>
      <c r="J45" s="33"/>
      <c r="K45" s="1079"/>
      <c r="L45" s="1740" t="s">
        <v>1032</v>
      </c>
      <c r="M45" s="1418">
        <v>1</v>
      </c>
      <c r="N45" s="1511" t="s">
        <v>116</v>
      </c>
      <c r="O45" s="1741">
        <v>0</v>
      </c>
      <c r="P45" s="1512">
        <f>O45*M45</f>
        <v>0</v>
      </c>
      <c r="Q45" s="2100"/>
    </row>
    <row r="46" spans="2:20" ht="12.95" customHeight="1" x14ac:dyDescent="0.2">
      <c r="B46" s="80"/>
      <c r="C46" s="33"/>
      <c r="D46" s="33"/>
      <c r="E46" s="60"/>
      <c r="F46" s="33"/>
      <c r="G46" s="46"/>
      <c r="H46" s="46"/>
      <c r="I46" s="1079"/>
      <c r="J46" s="33"/>
      <c r="K46" s="1079"/>
      <c r="L46" s="1740"/>
      <c r="M46" s="1418"/>
      <c r="N46" s="1511"/>
      <c r="O46" s="1741"/>
      <c r="P46" s="2103"/>
      <c r="Q46" s="2100"/>
    </row>
    <row r="47" spans="2:20" ht="12.95" customHeight="1" x14ac:dyDescent="0.2">
      <c r="B47" s="80"/>
      <c r="C47" s="33"/>
      <c r="D47" s="33"/>
      <c r="E47" s="60"/>
      <c r="F47" s="33"/>
      <c r="G47" s="46"/>
      <c r="H47" s="46"/>
      <c r="I47" s="1079"/>
      <c r="J47" s="33"/>
      <c r="K47" s="1079"/>
      <c r="L47" s="400"/>
      <c r="M47" s="1418"/>
      <c r="N47" s="614"/>
      <c r="O47" s="615"/>
      <c r="P47" s="2113"/>
      <c r="Q47" s="2101"/>
      <c r="R47" s="908"/>
    </row>
    <row r="48" spans="2:20" ht="12.95" customHeight="1" x14ac:dyDescent="0.2">
      <c r="C48" s="3"/>
      <c r="D48" s="3"/>
      <c r="E48" s="3"/>
      <c r="F48" s="3"/>
      <c r="G48" s="3"/>
      <c r="H48" s="3"/>
      <c r="I48" s="3"/>
      <c r="J48" s="3"/>
      <c r="K48" s="3"/>
      <c r="L48" s="3"/>
      <c r="M48" s="2289" t="s">
        <v>199</v>
      </c>
      <c r="N48" s="2289"/>
      <c r="O48" s="2512"/>
      <c r="P48" s="1888">
        <f>SUM(P34)</f>
        <v>0</v>
      </c>
      <c r="Q48" s="2102"/>
      <c r="R48" s="787"/>
      <c r="S48" s="725">
        <v>93038750000</v>
      </c>
    </row>
    <row r="49" spans="2:23" ht="12.95" customHeight="1" x14ac:dyDescent="0.2">
      <c r="B49" s="1180"/>
      <c r="C49" s="1181"/>
      <c r="D49" s="1181"/>
      <c r="E49" s="1181"/>
      <c r="F49" s="1181"/>
      <c r="G49" s="1181"/>
      <c r="H49" s="1181"/>
      <c r="I49" s="1181"/>
      <c r="J49" s="1181"/>
      <c r="K49" s="1181"/>
      <c r="L49" s="1181"/>
      <c r="M49" s="1181"/>
      <c r="N49" s="1181"/>
      <c r="O49" s="1181"/>
      <c r="P49" s="1182"/>
      <c r="Q49" s="2047"/>
      <c r="S49" s="725"/>
    </row>
    <row r="50" spans="2:23" ht="12.95" customHeight="1" x14ac:dyDescent="0.2">
      <c r="B50" s="170"/>
      <c r="C50" s="131"/>
      <c r="D50" s="131"/>
      <c r="E50" s="131"/>
      <c r="F50" s="131"/>
      <c r="G50" s="131"/>
      <c r="H50" s="131"/>
      <c r="I50" s="131"/>
      <c r="J50" s="131"/>
      <c r="K50" s="131"/>
      <c r="L50" s="131"/>
      <c r="M50" s="2506" t="str">
        <f>'RECAP APBD'!E43</f>
        <v>Banda Aceh,                   2020</v>
      </c>
      <c r="N50" s="2506"/>
      <c r="O50" s="2506"/>
      <c r="P50" s="2507"/>
      <c r="Q50" s="2028"/>
    </row>
    <row r="51" spans="2:23" ht="12.95" customHeight="1" x14ac:dyDescent="0.2">
      <c r="B51" s="170"/>
      <c r="C51" s="131"/>
      <c r="D51" s="131"/>
      <c r="E51" s="131"/>
      <c r="F51" s="131"/>
      <c r="G51" s="131"/>
      <c r="H51" s="131"/>
      <c r="I51" s="131"/>
      <c r="J51" s="131"/>
      <c r="K51" s="131"/>
      <c r="L51" s="131"/>
      <c r="M51" s="2449" t="str">
        <f>'RECAP APBD'!E44</f>
        <v>Pengguna Anggaran</v>
      </c>
      <c r="N51" s="2449"/>
      <c r="O51" s="2449"/>
      <c r="P51" s="2600"/>
      <c r="Q51" s="2027"/>
    </row>
    <row r="52" spans="2:23" ht="12.95" customHeight="1" x14ac:dyDescent="0.2">
      <c r="B52" s="170"/>
      <c r="C52" s="131"/>
      <c r="D52" s="131"/>
      <c r="E52" s="131"/>
      <c r="F52" s="131"/>
      <c r="G52" s="131"/>
      <c r="H52" s="131"/>
      <c r="I52" s="131"/>
      <c r="J52" s="131"/>
      <c r="K52" s="131"/>
      <c r="L52" s="131"/>
      <c r="M52" s="2449" t="str">
        <f>'RECAP APBD'!E45</f>
        <v>Satuan Kerja Perangkat Daerah</v>
      </c>
      <c r="N52" s="2449"/>
      <c r="O52" s="2449"/>
      <c r="P52" s="2600"/>
      <c r="Q52" s="2027"/>
      <c r="R52" s="11"/>
      <c r="S52" s="11"/>
      <c r="T52" s="22"/>
      <c r="W52" s="313" t="s">
        <v>475</v>
      </c>
    </row>
    <row r="53" spans="2:23" ht="12.95" customHeight="1" x14ac:dyDescent="0.2">
      <c r="B53" s="170"/>
      <c r="C53" s="131"/>
      <c r="D53" s="131"/>
      <c r="E53" s="131"/>
      <c r="F53" s="131"/>
      <c r="G53" s="131"/>
      <c r="H53" s="131"/>
      <c r="I53" s="131"/>
      <c r="J53" s="131"/>
      <c r="K53" s="131"/>
      <c r="L53" s="131"/>
      <c r="M53" s="1082"/>
      <c r="N53" s="1082"/>
      <c r="O53" s="1082"/>
      <c r="P53" s="1083"/>
      <c r="Q53" s="2030"/>
      <c r="R53" s="11"/>
      <c r="S53" s="11"/>
      <c r="T53" s="22"/>
      <c r="W53" s="314" t="s">
        <v>476</v>
      </c>
    </row>
    <row r="54" spans="2:23" ht="12.95" customHeight="1" x14ac:dyDescent="0.2">
      <c r="B54" s="170"/>
      <c r="C54" s="131"/>
      <c r="D54" s="131"/>
      <c r="E54" s="131"/>
      <c r="F54" s="131"/>
      <c r="G54" s="131"/>
      <c r="H54" s="131"/>
      <c r="I54" s="131"/>
      <c r="J54" s="131"/>
      <c r="K54" s="131"/>
      <c r="L54" s="131"/>
      <c r="M54" s="2612"/>
      <c r="N54" s="2612"/>
      <c r="O54" s="2612"/>
      <c r="P54" s="2613"/>
      <c r="Q54" s="2030"/>
    </row>
    <row r="55" spans="2:23" ht="12.95" customHeight="1" x14ac:dyDescent="0.2">
      <c r="B55" s="170"/>
      <c r="C55" s="131"/>
      <c r="D55" s="131"/>
      <c r="E55" s="131"/>
      <c r="F55" s="131"/>
      <c r="G55" s="131"/>
      <c r="H55" s="131"/>
      <c r="I55" s="131"/>
      <c r="J55" s="131"/>
      <c r="K55" s="131"/>
      <c r="L55" s="131"/>
      <c r="M55" s="2199" t="str">
        <f>'Honor NON PNS'!M78</f>
        <v>Bustami, SH</v>
      </c>
      <c r="N55" s="2199"/>
      <c r="O55" s="2199"/>
      <c r="P55" s="2200"/>
      <c r="Q55" s="2021"/>
    </row>
    <row r="56" spans="2:23" ht="12.95" customHeight="1" x14ac:dyDescent="0.2">
      <c r="B56" s="170"/>
      <c r="C56" s="131"/>
      <c r="D56" s="131"/>
      <c r="E56" s="131"/>
      <c r="F56" s="131"/>
      <c r="G56" s="131"/>
      <c r="H56" s="131"/>
      <c r="I56" s="131"/>
      <c r="J56" s="131"/>
      <c r="K56" s="131"/>
      <c r="L56" s="131"/>
      <c r="M56" s="2573" t="str">
        <f>'RECAP APBD'!E49</f>
        <v>Pembina Utama Muda / Nip. 19630824 198703 1 004</v>
      </c>
      <c r="N56" s="2573"/>
      <c r="O56" s="2573"/>
      <c r="P56" s="2574"/>
      <c r="Q56" s="2033"/>
    </row>
    <row r="57" spans="2:23" ht="12.95" customHeight="1" x14ac:dyDescent="0.2">
      <c r="B57" s="2501" t="s">
        <v>140</v>
      </c>
      <c r="C57" s="2502"/>
      <c r="D57" s="2502"/>
      <c r="E57" s="2502"/>
      <c r="F57" s="2502"/>
      <c r="G57" s="2502"/>
      <c r="H57" s="2502"/>
      <c r="I57" s="2502"/>
      <c r="J57" s="2502"/>
      <c r="K57" s="2502"/>
      <c r="L57" s="2502"/>
      <c r="M57" s="2513"/>
      <c r="N57" s="2513"/>
      <c r="O57" s="2513"/>
      <c r="P57" s="2514"/>
      <c r="Q57" s="571"/>
    </row>
    <row r="58" spans="2:23" ht="12.95" customHeight="1" x14ac:dyDescent="0.2">
      <c r="B58" s="2501" t="s">
        <v>22</v>
      </c>
      <c r="C58" s="2502"/>
      <c r="D58" s="2502"/>
      <c r="E58" s="2502"/>
      <c r="F58" s="2502"/>
      <c r="G58" s="2502"/>
      <c r="H58" s="2502"/>
      <c r="I58" s="2502"/>
      <c r="J58" s="2502"/>
      <c r="K58" s="2502"/>
      <c r="L58" s="2502"/>
      <c r="M58" s="251"/>
      <c r="N58" s="2508"/>
      <c r="O58" s="2508"/>
      <c r="P58" s="2509"/>
      <c r="Q58" s="1490"/>
    </row>
    <row r="59" spans="2:23" ht="12.95" customHeight="1" x14ac:dyDescent="0.2">
      <c r="B59" s="2501" t="s">
        <v>21</v>
      </c>
      <c r="C59" s="2502"/>
      <c r="D59" s="2502"/>
      <c r="E59" s="2502"/>
      <c r="F59" s="2502"/>
      <c r="G59" s="2502"/>
      <c r="H59" s="2502"/>
      <c r="I59" s="2502"/>
      <c r="J59" s="2502"/>
      <c r="K59" s="2502"/>
      <c r="L59" s="2502"/>
      <c r="M59" s="251"/>
      <c r="N59" s="2503"/>
      <c r="O59" s="2503"/>
      <c r="P59" s="2504"/>
      <c r="Q59" s="2034"/>
    </row>
    <row r="60" spans="2:23" ht="12.95" customHeight="1" x14ac:dyDescent="0.2">
      <c r="B60" s="2501" t="s">
        <v>204</v>
      </c>
      <c r="C60" s="2502"/>
      <c r="D60" s="2502"/>
      <c r="E60" s="2502"/>
      <c r="F60" s="2502"/>
      <c r="G60" s="2502"/>
      <c r="H60" s="2502"/>
      <c r="I60" s="2502"/>
      <c r="J60" s="2502"/>
      <c r="K60" s="2502"/>
      <c r="L60" s="2502"/>
      <c r="M60" s="2502"/>
      <c r="N60" s="2502"/>
      <c r="O60" s="2502"/>
      <c r="P60" s="2505"/>
      <c r="Q60" s="572"/>
    </row>
    <row r="61" spans="2:23" ht="12.95" customHeight="1" x14ac:dyDescent="0.2">
      <c r="B61" s="2501" t="s">
        <v>205</v>
      </c>
      <c r="C61" s="2502"/>
      <c r="D61" s="2502"/>
      <c r="E61" s="2502"/>
      <c r="F61" s="2502"/>
      <c r="G61" s="2502"/>
      <c r="H61" s="2502"/>
      <c r="I61" s="2502"/>
      <c r="J61" s="2502"/>
      <c r="K61" s="2502"/>
      <c r="L61" s="2502"/>
      <c r="M61" s="2502"/>
      <c r="N61" s="2502"/>
      <c r="O61" s="2502"/>
      <c r="P61" s="2505"/>
      <c r="Q61" s="572"/>
    </row>
    <row r="62" spans="2:23" ht="12.95" customHeight="1" thickBot="1" x14ac:dyDescent="0.25">
      <c r="B62" s="2517" t="s">
        <v>206</v>
      </c>
      <c r="C62" s="2518"/>
      <c r="D62" s="2518"/>
      <c r="E62" s="2518"/>
      <c r="F62" s="2518"/>
      <c r="G62" s="2518"/>
      <c r="H62" s="2518"/>
      <c r="I62" s="2518"/>
      <c r="J62" s="2518"/>
      <c r="K62" s="2518"/>
      <c r="L62" s="2518"/>
      <c r="M62" s="2518"/>
      <c r="N62" s="2518"/>
      <c r="O62" s="2518"/>
      <c r="P62" s="2519"/>
      <c r="Q62" s="572"/>
    </row>
    <row r="63" spans="2:23" ht="12.95" customHeight="1" thickTop="1" x14ac:dyDescent="0.2">
      <c r="B63" s="2523" t="s">
        <v>25</v>
      </c>
      <c r="C63" s="2524"/>
      <c r="D63" s="2524"/>
      <c r="E63" s="2524"/>
      <c r="F63" s="2524"/>
      <c r="G63" s="2524"/>
      <c r="H63" s="2524"/>
      <c r="I63" s="2524"/>
      <c r="J63" s="2524"/>
      <c r="K63" s="2524"/>
      <c r="L63" s="2524"/>
      <c r="M63" s="2524"/>
      <c r="N63" s="2524"/>
      <c r="O63" s="2524"/>
      <c r="P63" s="2525"/>
      <c r="Q63" s="2023"/>
    </row>
    <row r="64" spans="2:23" ht="12.95" customHeight="1" thickBot="1" x14ac:dyDescent="0.25">
      <c r="B64" s="2526" t="s">
        <v>207</v>
      </c>
      <c r="C64" s="2527"/>
      <c r="D64" s="2528" t="s">
        <v>208</v>
      </c>
      <c r="E64" s="2529"/>
      <c r="F64" s="2529"/>
      <c r="G64" s="2529"/>
      <c r="H64" s="2529"/>
      <c r="I64" s="2529"/>
      <c r="J64" s="2529"/>
      <c r="K64" s="2529"/>
      <c r="L64" s="2530"/>
      <c r="M64" s="2531" t="s">
        <v>209</v>
      </c>
      <c r="N64" s="2530"/>
      <c r="O64" s="4" t="s">
        <v>210</v>
      </c>
      <c r="P64" s="92" t="s">
        <v>211</v>
      </c>
      <c r="Q64" s="2027"/>
    </row>
    <row r="65" spans="2:17" ht="12.95" customHeight="1" thickTop="1" x14ac:dyDescent="0.2">
      <c r="B65" s="2535">
        <v>1</v>
      </c>
      <c r="C65" s="2536"/>
      <c r="D65" s="2532"/>
      <c r="E65" s="2533"/>
      <c r="F65" s="2533"/>
      <c r="G65" s="2533"/>
      <c r="H65" s="2533"/>
      <c r="I65" s="2533"/>
      <c r="J65" s="2533"/>
      <c r="K65" s="2533"/>
      <c r="L65" s="2534"/>
      <c r="M65" s="2538"/>
      <c r="N65" s="2539"/>
      <c r="O65" s="1073"/>
      <c r="P65" s="1177" t="s">
        <v>10</v>
      </c>
      <c r="Q65" s="1257"/>
    </row>
    <row r="66" spans="2:17" ht="12.95" customHeight="1" x14ac:dyDescent="0.2">
      <c r="B66" s="2522">
        <v>2</v>
      </c>
      <c r="C66" s="2240"/>
      <c r="D66" s="1116"/>
      <c r="E66" s="1117"/>
      <c r="F66" s="1117"/>
      <c r="G66" s="1117"/>
      <c r="H66" s="1117"/>
      <c r="I66" s="1117"/>
      <c r="J66" s="1117"/>
      <c r="K66" s="1117"/>
      <c r="L66" s="1118"/>
      <c r="M66" s="2442"/>
      <c r="N66" s="2247"/>
      <c r="O66" s="1085"/>
      <c r="P66" s="1177" t="s">
        <v>11</v>
      </c>
      <c r="Q66" s="1257"/>
    </row>
    <row r="67" spans="2:17" ht="12.95" customHeight="1" x14ac:dyDescent="0.2">
      <c r="B67" s="2522">
        <v>3</v>
      </c>
      <c r="C67" s="2240"/>
      <c r="D67" s="1116"/>
      <c r="E67" s="1117"/>
      <c r="F67" s="1117"/>
      <c r="G67" s="1117"/>
      <c r="H67" s="1117"/>
      <c r="I67" s="1117"/>
      <c r="J67" s="1117"/>
      <c r="K67" s="1117"/>
      <c r="L67" s="1118"/>
      <c r="M67" s="2442"/>
      <c r="N67" s="2247"/>
      <c r="O67" s="1085"/>
      <c r="P67" s="1177" t="s">
        <v>12</v>
      </c>
      <c r="Q67" s="1257"/>
    </row>
    <row r="68" spans="2:17" ht="12.95" customHeight="1" x14ac:dyDescent="0.2">
      <c r="B68" s="2522">
        <v>4</v>
      </c>
      <c r="C68" s="2240"/>
      <c r="D68" s="1116"/>
      <c r="E68" s="1117"/>
      <c r="F68" s="1117"/>
      <c r="G68" s="1117"/>
      <c r="H68" s="1117"/>
      <c r="I68" s="1117"/>
      <c r="J68" s="1117"/>
      <c r="K68" s="1117"/>
      <c r="L68" s="1118"/>
      <c r="M68" s="2443"/>
      <c r="N68" s="2253"/>
      <c r="O68" s="1085"/>
      <c r="P68" s="1177" t="s">
        <v>13</v>
      </c>
      <c r="Q68" s="1257"/>
    </row>
    <row r="69" spans="2:17" ht="12.95" customHeight="1" x14ac:dyDescent="0.2">
      <c r="B69" s="2522">
        <v>5</v>
      </c>
      <c r="C69" s="2240"/>
      <c r="D69" s="1116"/>
      <c r="E69" s="1117"/>
      <c r="F69" s="1117"/>
      <c r="G69" s="1117"/>
      <c r="H69" s="1117"/>
      <c r="I69" s="1117"/>
      <c r="J69" s="1117"/>
      <c r="K69" s="1117"/>
      <c r="L69" s="1118"/>
      <c r="M69" s="2443"/>
      <c r="N69" s="2253"/>
      <c r="O69" s="1085"/>
      <c r="P69" s="1177" t="s">
        <v>14</v>
      </c>
      <c r="Q69" s="1257"/>
    </row>
    <row r="70" spans="2:17" ht="12.95" customHeight="1" x14ac:dyDescent="0.2">
      <c r="B70" s="2522">
        <v>6</v>
      </c>
      <c r="C70" s="2240"/>
      <c r="D70" s="1116"/>
      <c r="E70" s="1117"/>
      <c r="F70" s="1117"/>
      <c r="G70" s="1117"/>
      <c r="H70" s="1117"/>
      <c r="I70" s="1117"/>
      <c r="J70" s="1117"/>
      <c r="K70" s="1117"/>
      <c r="L70" s="1118"/>
      <c r="M70" s="2443"/>
      <c r="N70" s="2253"/>
      <c r="O70" s="1085"/>
      <c r="P70" s="1178" t="s">
        <v>42</v>
      </c>
      <c r="Q70" s="2052"/>
    </row>
    <row r="71" spans="2:17" ht="12.95" customHeight="1" thickBot="1" x14ac:dyDescent="0.25">
      <c r="B71" s="2520">
        <v>7</v>
      </c>
      <c r="C71" s="2521"/>
      <c r="D71" s="1119"/>
      <c r="E71" s="1120"/>
      <c r="F71" s="1120"/>
      <c r="G71" s="1120"/>
      <c r="H71" s="1120"/>
      <c r="I71" s="1120"/>
      <c r="J71" s="1120"/>
      <c r="K71" s="1120"/>
      <c r="L71" s="1121"/>
      <c r="M71" s="2537"/>
      <c r="N71" s="2300"/>
      <c r="O71" s="1061"/>
      <c r="P71" s="1179" t="s">
        <v>487</v>
      </c>
      <c r="Q71" s="2053"/>
    </row>
    <row r="72" spans="2:17" ht="13.5" thickTop="1" x14ac:dyDescent="0.2"/>
  </sheetData>
  <mergeCells count="82">
    <mergeCell ref="B69:C69"/>
    <mergeCell ref="M69:N69"/>
    <mergeCell ref="B70:C70"/>
    <mergeCell ref="M70:N70"/>
    <mergeCell ref="B71:C71"/>
    <mergeCell ref="M71:N71"/>
    <mergeCell ref="B66:C66"/>
    <mergeCell ref="M66:N66"/>
    <mergeCell ref="B67:C67"/>
    <mergeCell ref="M67:N67"/>
    <mergeCell ref="B68:C68"/>
    <mergeCell ref="M68:N68"/>
    <mergeCell ref="B65:C65"/>
    <mergeCell ref="D65:L65"/>
    <mergeCell ref="M65:N65"/>
    <mergeCell ref="B58:L58"/>
    <mergeCell ref="N58:P58"/>
    <mergeCell ref="B59:L59"/>
    <mergeCell ref="N59:P59"/>
    <mergeCell ref="B60:P60"/>
    <mergeCell ref="B61:P61"/>
    <mergeCell ref="B62:P62"/>
    <mergeCell ref="B63:P63"/>
    <mergeCell ref="B64:C64"/>
    <mergeCell ref="D64:L64"/>
    <mergeCell ref="M64:N64"/>
    <mergeCell ref="B57:L57"/>
    <mergeCell ref="B29:K29"/>
    <mergeCell ref="M50:P50"/>
    <mergeCell ref="M51:P51"/>
    <mergeCell ref="M52:P52"/>
    <mergeCell ref="M54:P54"/>
    <mergeCell ref="M55:P55"/>
    <mergeCell ref="M56:P56"/>
    <mergeCell ref="M57:P57"/>
    <mergeCell ref="M48:O48"/>
    <mergeCell ref="O16:P16"/>
    <mergeCell ref="B16:K16"/>
    <mergeCell ref="L16:N16"/>
    <mergeCell ref="O19:P19"/>
    <mergeCell ref="B20:K20"/>
    <mergeCell ref="L20:N20"/>
    <mergeCell ref="O20:P20"/>
    <mergeCell ref="O17:P17"/>
    <mergeCell ref="B18:K18"/>
    <mergeCell ref="L18:N18"/>
    <mergeCell ref="O18:P18"/>
    <mergeCell ref="B19:K19"/>
    <mergeCell ref="L19:N19"/>
    <mergeCell ref="B17:K17"/>
    <mergeCell ref="L17:N17"/>
    <mergeCell ref="B15:P15"/>
    <mergeCell ref="B6:K6"/>
    <mergeCell ref="M6:P6"/>
    <mergeCell ref="B7:K7"/>
    <mergeCell ref="M7:P7"/>
    <mergeCell ref="B8:K8"/>
    <mergeCell ref="B9:K9"/>
    <mergeCell ref="B11:K11"/>
    <mergeCell ref="L11:P11"/>
    <mergeCell ref="B12:K12"/>
    <mergeCell ref="B13:K13"/>
    <mergeCell ref="B14:K14"/>
    <mergeCell ref="F2:O2"/>
    <mergeCell ref="P2:P3"/>
    <mergeCell ref="F3:O3"/>
    <mergeCell ref="B4:O4"/>
    <mergeCell ref="P4:P5"/>
    <mergeCell ref="B5:O5"/>
    <mergeCell ref="B21:P21"/>
    <mergeCell ref="B25:K25"/>
    <mergeCell ref="L25:L28"/>
    <mergeCell ref="M25:O25"/>
    <mergeCell ref="B26:K26"/>
    <mergeCell ref="M26:M28"/>
    <mergeCell ref="N26:N28"/>
    <mergeCell ref="O26:O28"/>
    <mergeCell ref="B27:K27"/>
    <mergeCell ref="B28:K28"/>
    <mergeCell ref="B23:P23"/>
    <mergeCell ref="B22:P22"/>
    <mergeCell ref="B24:P24"/>
  </mergeCells>
  <pageMargins left="0.70866141732283472" right="0.23622047244094491" top="0.39370078740157483" bottom="0.39370078740157483" header="0.35433070866141736" footer="0.51181102362204722"/>
  <pageSetup paperSize="5" scale="75" orientation="portrait" horizontalDpi="4294967294" verticalDpi="4294967293"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39997558519241921"/>
  </sheetPr>
  <dimension ref="B1:T93"/>
  <sheetViews>
    <sheetView view="pageBreakPreview" topLeftCell="F39" zoomScale="70" zoomScaleNormal="120" zoomScaleSheetLayoutView="70" workbookViewId="0">
      <selection activeCell="O52" sqref="O52"/>
    </sheetView>
  </sheetViews>
  <sheetFormatPr defaultColWidth="8.7109375" defaultRowHeight="12.75" x14ac:dyDescent="0.2"/>
  <cols>
    <col min="1" max="1" width="6.140625" style="715" customWidth="1"/>
    <col min="2" max="11" width="2.7109375" style="715" customWidth="1"/>
    <col min="12" max="12" width="47.5703125" style="715" customWidth="1"/>
    <col min="13" max="13" width="8.5703125" style="715" customWidth="1"/>
    <col min="14" max="14" width="12" style="715" customWidth="1"/>
    <col min="15" max="15" width="13.5703125" style="715" customWidth="1"/>
    <col min="16" max="17" width="16.5703125" style="715" customWidth="1"/>
    <col min="18" max="18" width="16.140625" style="715" customWidth="1"/>
    <col min="19" max="19" width="12.42578125" style="715" customWidth="1"/>
    <col min="20" max="21" width="8.7109375" style="715"/>
    <col min="22" max="22" width="11.5703125" style="715" customWidth="1"/>
    <col min="23" max="23" width="13.140625" style="715" bestFit="1" customWidth="1"/>
    <col min="24" max="24" width="14.28515625" style="715" bestFit="1" customWidth="1"/>
    <col min="25" max="16384" width="8.7109375" style="715"/>
  </cols>
  <sheetData>
    <row r="1" spans="2:17" ht="18" customHeight="1" thickBot="1" x14ac:dyDescent="0.25"/>
    <row r="2" spans="2:17" s="716" customFormat="1" ht="18.95" customHeight="1" thickTop="1" x14ac:dyDescent="0.2">
      <c r="B2" s="72"/>
      <c r="C2" s="73"/>
      <c r="D2" s="73"/>
      <c r="E2" s="73"/>
      <c r="F2" s="2174" t="s">
        <v>182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453</v>
      </c>
      <c r="C6" s="2463"/>
      <c r="D6" s="2463"/>
      <c r="E6" s="2463"/>
      <c r="F6" s="2463"/>
      <c r="G6" s="2463"/>
      <c r="H6" s="2463"/>
      <c r="I6" s="2463"/>
      <c r="J6" s="2463"/>
      <c r="K6" s="2463"/>
      <c r="L6" s="1068" t="s">
        <v>442</v>
      </c>
      <c r="M6" s="2213" t="s">
        <v>437</v>
      </c>
      <c r="N6" s="2213"/>
      <c r="O6" s="2213"/>
      <c r="P6" s="2214"/>
      <c r="Q6" s="296"/>
    </row>
    <row r="7" spans="2:17" ht="12.95" customHeight="1" x14ac:dyDescent="0.2">
      <c r="B7" s="2471" t="s">
        <v>19</v>
      </c>
      <c r="C7" s="2355"/>
      <c r="D7" s="2355"/>
      <c r="E7" s="2355"/>
      <c r="F7" s="2355"/>
      <c r="G7" s="2355"/>
      <c r="H7" s="2355"/>
      <c r="I7" s="2355"/>
      <c r="J7" s="2355"/>
      <c r="K7" s="2355"/>
      <c r="L7" s="1066" t="s">
        <v>441</v>
      </c>
      <c r="M7" s="2541" t="s">
        <v>466</v>
      </c>
      <c r="N7" s="2541"/>
      <c r="O7" s="2541"/>
      <c r="P7" s="2542"/>
      <c r="Q7" s="512"/>
    </row>
    <row r="8" spans="2:17" ht="12.95" customHeight="1" x14ac:dyDescent="0.2">
      <c r="B8" s="2471" t="s">
        <v>32</v>
      </c>
      <c r="C8" s="2355"/>
      <c r="D8" s="2355"/>
      <c r="E8" s="2355"/>
      <c r="F8" s="2355"/>
      <c r="G8" s="2355"/>
      <c r="H8" s="2355"/>
      <c r="I8" s="2355"/>
      <c r="J8" s="2355"/>
      <c r="K8" s="2355"/>
      <c r="L8" s="1066" t="s">
        <v>454</v>
      </c>
      <c r="M8" s="29" t="s">
        <v>156</v>
      </c>
      <c r="N8" s="30"/>
      <c r="O8" s="30"/>
      <c r="P8" s="75"/>
      <c r="Q8" s="2054"/>
    </row>
    <row r="9" spans="2:17" s="717" customFormat="1" ht="12.95" customHeight="1" x14ac:dyDescent="0.2">
      <c r="B9" s="2571" t="s">
        <v>20</v>
      </c>
      <c r="C9" s="2548"/>
      <c r="D9" s="2548"/>
      <c r="E9" s="2548"/>
      <c r="F9" s="2548"/>
      <c r="G9" s="2548"/>
      <c r="H9" s="2548"/>
      <c r="I9" s="2548"/>
      <c r="J9" s="2548"/>
      <c r="K9" s="2548"/>
      <c r="L9" s="34" t="s">
        <v>455</v>
      </c>
      <c r="M9" s="2618" t="s">
        <v>9</v>
      </c>
      <c r="N9" s="2618"/>
      <c r="O9" s="2618"/>
      <c r="P9" s="2619"/>
      <c r="Q9" s="2084"/>
    </row>
    <row r="10" spans="2:17" s="717" customFormat="1" ht="12.95" customHeight="1" x14ac:dyDescent="0.2">
      <c r="B10" s="1069"/>
      <c r="C10" s="1070"/>
      <c r="D10" s="1070"/>
      <c r="E10" s="1070"/>
      <c r="F10" s="1070"/>
      <c r="G10" s="1070"/>
      <c r="H10" s="1070"/>
      <c r="I10" s="1070"/>
      <c r="J10" s="1070"/>
      <c r="K10" s="1070"/>
      <c r="L10" s="1066"/>
      <c r="M10" s="1098"/>
      <c r="N10" s="1098"/>
      <c r="O10" s="1098"/>
      <c r="P10" s="1099"/>
      <c r="Q10" s="2078"/>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56356400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63085920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66240216</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19" ht="12.95" customHeight="1" x14ac:dyDescent="0.2">
      <c r="B17" s="2454" t="s">
        <v>37</v>
      </c>
      <c r="C17" s="2286"/>
      <c r="D17" s="2286"/>
      <c r="E17" s="2286"/>
      <c r="F17" s="2286"/>
      <c r="G17" s="2286"/>
      <c r="H17" s="2286"/>
      <c r="I17" s="2286"/>
      <c r="J17" s="2286"/>
      <c r="K17" s="2455"/>
      <c r="L17" s="2228" t="s">
        <v>711</v>
      </c>
      <c r="M17" s="2228"/>
      <c r="N17" s="2577"/>
      <c r="O17" s="2474">
        <v>1</v>
      </c>
      <c r="P17" s="2229"/>
      <c r="Q17" s="2028"/>
    </row>
    <row r="18" spans="2:19" ht="12.95" customHeight="1" x14ac:dyDescent="0.2">
      <c r="B18" s="2454" t="s">
        <v>228</v>
      </c>
      <c r="C18" s="2286"/>
      <c r="D18" s="2286"/>
      <c r="E18" s="2286"/>
      <c r="F18" s="2286"/>
      <c r="G18" s="2286"/>
      <c r="H18" s="2286"/>
      <c r="I18" s="2286"/>
      <c r="J18" s="2286"/>
      <c r="K18" s="2455"/>
      <c r="L18" s="2228" t="s">
        <v>287</v>
      </c>
      <c r="M18" s="2228"/>
      <c r="N18" s="2577"/>
      <c r="O18" s="2459">
        <f>P30</f>
        <v>63085920</v>
      </c>
      <c r="P18" s="2460"/>
      <c r="Q18" s="2028"/>
    </row>
    <row r="19" spans="2:19" ht="12.95" customHeight="1" x14ac:dyDescent="0.2">
      <c r="B19" s="2454" t="s">
        <v>229</v>
      </c>
      <c r="C19" s="2286"/>
      <c r="D19" s="2286"/>
      <c r="E19" s="2286"/>
      <c r="F19" s="2286"/>
      <c r="G19" s="2286"/>
      <c r="H19" s="2286"/>
      <c r="I19" s="2286"/>
      <c r="J19" s="2286"/>
      <c r="K19" s="2455"/>
      <c r="L19" s="2228" t="s">
        <v>712</v>
      </c>
      <c r="M19" s="2228"/>
      <c r="N19" s="2577"/>
      <c r="O19" s="2461" t="s">
        <v>713</v>
      </c>
      <c r="P19" s="2460"/>
      <c r="Q19" s="2028"/>
    </row>
    <row r="20" spans="2:19" ht="12.95" customHeight="1" x14ac:dyDescent="0.2">
      <c r="B20" s="2454" t="s">
        <v>230</v>
      </c>
      <c r="C20" s="2286"/>
      <c r="D20" s="2286"/>
      <c r="E20" s="2286"/>
      <c r="F20" s="2286"/>
      <c r="G20" s="2286"/>
      <c r="H20" s="2286"/>
      <c r="I20" s="2286"/>
      <c r="J20" s="2286"/>
      <c r="K20" s="2455"/>
      <c r="L20" s="2228" t="s">
        <v>710</v>
      </c>
      <c r="M20" s="2228"/>
      <c r="N20" s="2577"/>
      <c r="O20" s="2474">
        <v>1</v>
      </c>
      <c r="P20" s="2229"/>
      <c r="Q20" s="2028"/>
    </row>
    <row r="21" spans="2:19" ht="6.95" customHeight="1" x14ac:dyDescent="0.2">
      <c r="B21" s="2445"/>
      <c r="C21" s="2446"/>
      <c r="D21" s="2446"/>
      <c r="E21" s="2446"/>
      <c r="F21" s="2446"/>
      <c r="G21" s="2446"/>
      <c r="H21" s="2446"/>
      <c r="I21" s="2446"/>
      <c r="J21" s="2446"/>
      <c r="K21" s="2446"/>
      <c r="L21" s="2446"/>
      <c r="M21" s="2446"/>
      <c r="N21" s="2446"/>
      <c r="O21" s="2446"/>
      <c r="P21" s="2447"/>
      <c r="Q21" s="2046"/>
    </row>
    <row r="22" spans="2:19" ht="12.95" customHeight="1" x14ac:dyDescent="0.2">
      <c r="B22" s="2215" t="s">
        <v>540</v>
      </c>
      <c r="C22" s="2216"/>
      <c r="D22" s="2216"/>
      <c r="E22" s="2216"/>
      <c r="F22" s="2216"/>
      <c r="G22" s="2216"/>
      <c r="H22" s="2216"/>
      <c r="I22" s="2216"/>
      <c r="J22" s="2216"/>
      <c r="K22" s="2216"/>
      <c r="L22" s="2216"/>
      <c r="M22" s="2216"/>
      <c r="N22" s="2216"/>
      <c r="O22" s="2216"/>
      <c r="P22" s="2486"/>
      <c r="Q22" s="2022"/>
    </row>
    <row r="23" spans="2:19" ht="12.95" customHeight="1" x14ac:dyDescent="0.2">
      <c r="B23" s="2487" t="s">
        <v>231</v>
      </c>
      <c r="C23" s="2488"/>
      <c r="D23" s="2488"/>
      <c r="E23" s="2488"/>
      <c r="F23" s="2488"/>
      <c r="G23" s="2488"/>
      <c r="H23" s="2488"/>
      <c r="I23" s="2488"/>
      <c r="J23" s="2488"/>
      <c r="K23" s="2488"/>
      <c r="L23" s="2488"/>
      <c r="M23" s="2488"/>
      <c r="N23" s="2488"/>
      <c r="O23" s="2488"/>
      <c r="P23" s="2489"/>
      <c r="Q23" s="520"/>
    </row>
    <row r="24" spans="2:19" ht="12.95" customHeight="1" x14ac:dyDescent="0.2">
      <c r="B24" s="2490" t="s">
        <v>38</v>
      </c>
      <c r="C24" s="2491"/>
      <c r="D24" s="2491"/>
      <c r="E24" s="2491"/>
      <c r="F24" s="2491"/>
      <c r="G24" s="2491"/>
      <c r="H24" s="2491"/>
      <c r="I24" s="2491"/>
      <c r="J24" s="2491"/>
      <c r="K24" s="2491"/>
      <c r="L24" s="2491"/>
      <c r="M24" s="2491"/>
      <c r="N24" s="2491"/>
      <c r="O24" s="2491"/>
      <c r="P24" s="2492"/>
      <c r="Q24" s="520"/>
    </row>
    <row r="25" spans="2:19"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19"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19"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19" ht="12.95" customHeight="1" x14ac:dyDescent="0.2">
      <c r="B28" s="2451"/>
      <c r="C28" s="2452"/>
      <c r="D28" s="2452"/>
      <c r="E28" s="2452"/>
      <c r="F28" s="2452"/>
      <c r="G28" s="2452"/>
      <c r="H28" s="2452"/>
      <c r="I28" s="2452"/>
      <c r="J28" s="2452"/>
      <c r="K28" s="2453"/>
      <c r="L28" s="2497"/>
      <c r="M28" s="2497"/>
      <c r="N28" s="2497"/>
      <c r="O28" s="2406"/>
      <c r="P28" s="719"/>
      <c r="Q28" s="2047"/>
    </row>
    <row r="29" spans="2:19" ht="12.95" customHeight="1" thickBot="1" x14ac:dyDescent="0.25">
      <c r="B29" s="2483">
        <v>1</v>
      </c>
      <c r="C29" s="2484"/>
      <c r="D29" s="2484"/>
      <c r="E29" s="2616"/>
      <c r="F29" s="2616"/>
      <c r="G29" s="2616"/>
      <c r="H29" s="2616"/>
      <c r="I29" s="2616"/>
      <c r="J29" s="2616"/>
      <c r="K29" s="2485"/>
      <c r="L29" s="1077">
        <v>2</v>
      </c>
      <c r="M29" s="1077">
        <v>3</v>
      </c>
      <c r="N29" s="1077">
        <v>4</v>
      </c>
      <c r="O29" s="12">
        <v>5</v>
      </c>
      <c r="P29" s="79" t="s">
        <v>24</v>
      </c>
      <c r="Q29" s="2027"/>
    </row>
    <row r="30" spans="2:19" ht="12.95" customHeight="1" thickTop="1" x14ac:dyDescent="0.2">
      <c r="B30" s="80">
        <v>1</v>
      </c>
      <c r="C30" s="33" t="s">
        <v>440</v>
      </c>
      <c r="D30" s="33" t="s">
        <v>142</v>
      </c>
      <c r="E30" s="333"/>
      <c r="F30" s="1063"/>
      <c r="G30" s="335">
        <v>5</v>
      </c>
      <c r="H30" s="335">
        <v>2</v>
      </c>
      <c r="I30" s="1063"/>
      <c r="J30" s="1063"/>
      <c r="K30" s="1079"/>
      <c r="L30" s="63" t="s">
        <v>108</v>
      </c>
      <c r="M30" s="16"/>
      <c r="N30" s="16"/>
      <c r="O30" s="18"/>
      <c r="P30" s="88">
        <f>P31</f>
        <v>63085920</v>
      </c>
      <c r="Q30" s="2048">
        <v>65652400</v>
      </c>
      <c r="R30" s="782">
        <f>L12</f>
        <v>56356400</v>
      </c>
    </row>
    <row r="31" spans="2:19" ht="12.95" customHeight="1" x14ac:dyDescent="0.2">
      <c r="B31" s="80">
        <v>1</v>
      </c>
      <c r="C31" s="33" t="s">
        <v>440</v>
      </c>
      <c r="D31" s="33" t="s">
        <v>142</v>
      </c>
      <c r="E31" s="60" t="s">
        <v>145</v>
      </c>
      <c r="F31" s="1079"/>
      <c r="G31" s="46"/>
      <c r="H31" s="46"/>
      <c r="I31" s="1079"/>
      <c r="J31" s="1079"/>
      <c r="K31" s="1079"/>
      <c r="L31" s="63" t="s">
        <v>154</v>
      </c>
      <c r="M31" s="16"/>
      <c r="N31" s="16"/>
      <c r="O31" s="18"/>
      <c r="P31" s="88">
        <f>P32</f>
        <v>63085920</v>
      </c>
      <c r="Q31" s="2048"/>
      <c r="R31" s="721">
        <f>P31-R30</f>
        <v>6729520</v>
      </c>
      <c r="S31" s="721"/>
    </row>
    <row r="32" spans="2:19" ht="12.95" customHeight="1" x14ac:dyDescent="0.2">
      <c r="B32" s="80">
        <v>1</v>
      </c>
      <c r="C32" s="33" t="s">
        <v>440</v>
      </c>
      <c r="D32" s="33" t="s">
        <v>142</v>
      </c>
      <c r="E32" s="60" t="s">
        <v>145</v>
      </c>
      <c r="F32" s="33">
        <v>24</v>
      </c>
      <c r="G32" s="46"/>
      <c r="H32" s="46"/>
      <c r="I32" s="1079"/>
      <c r="J32" s="1079"/>
      <c r="K32" s="33"/>
      <c r="L32" s="64" t="s">
        <v>329</v>
      </c>
      <c r="M32" s="185"/>
      <c r="N32" s="185"/>
      <c r="O32" s="262"/>
      <c r="P32" s="89">
        <f>P40+P35</f>
        <v>63085920</v>
      </c>
      <c r="Q32" s="2049"/>
    </row>
    <row r="33" spans="2:17" ht="12.95" customHeight="1" x14ac:dyDescent="0.2">
      <c r="B33" s="80"/>
      <c r="C33" s="33"/>
      <c r="D33" s="33"/>
      <c r="E33" s="60"/>
      <c r="F33" s="33"/>
      <c r="G33" s="46"/>
      <c r="H33" s="46"/>
      <c r="I33" s="1079"/>
      <c r="J33" s="1079"/>
      <c r="K33" s="33"/>
      <c r="L33" s="66" t="s">
        <v>162</v>
      </c>
      <c r="M33" s="185"/>
      <c r="N33" s="185"/>
      <c r="O33" s="262"/>
      <c r="P33" s="1191"/>
      <c r="Q33" s="2104"/>
    </row>
    <row r="34" spans="2:17" ht="12.95" customHeight="1" x14ac:dyDescent="0.2">
      <c r="B34" s="80"/>
      <c r="C34" s="33"/>
      <c r="D34" s="33"/>
      <c r="E34" s="60"/>
      <c r="F34" s="33"/>
      <c r="G34" s="46"/>
      <c r="H34" s="46"/>
      <c r="I34" s="1079"/>
      <c r="J34" s="1079"/>
      <c r="K34" s="33"/>
      <c r="L34" s="66"/>
      <c r="M34" s="185"/>
      <c r="N34" s="185"/>
      <c r="O34" s="262"/>
      <c r="P34" s="1191"/>
      <c r="Q34" s="2104"/>
    </row>
    <row r="35" spans="2:17" ht="12.95" customHeight="1" x14ac:dyDescent="0.2">
      <c r="B35" s="80">
        <v>1</v>
      </c>
      <c r="C35" s="33" t="s">
        <v>440</v>
      </c>
      <c r="D35" s="33" t="s">
        <v>142</v>
      </c>
      <c r="E35" s="60" t="s">
        <v>145</v>
      </c>
      <c r="F35" s="33">
        <v>24</v>
      </c>
      <c r="G35" s="222">
        <v>5</v>
      </c>
      <c r="H35" s="222">
        <v>2</v>
      </c>
      <c r="I35" s="221">
        <v>1</v>
      </c>
      <c r="J35" s="221"/>
      <c r="K35" s="221"/>
      <c r="L35" s="233" t="s">
        <v>86</v>
      </c>
      <c r="M35" s="1405"/>
      <c r="N35" s="1266"/>
      <c r="O35" s="1267"/>
      <c r="P35" s="645">
        <f>P36</f>
        <v>1500000</v>
      </c>
      <c r="Q35" s="1431"/>
    </row>
    <row r="36" spans="2:17" ht="12.95" customHeight="1" x14ac:dyDescent="0.2">
      <c r="B36" s="80">
        <v>1</v>
      </c>
      <c r="C36" s="33" t="s">
        <v>440</v>
      </c>
      <c r="D36" s="33" t="s">
        <v>142</v>
      </c>
      <c r="E36" s="60" t="s">
        <v>145</v>
      </c>
      <c r="F36" s="33">
        <v>24</v>
      </c>
      <c r="G36" s="222">
        <v>5</v>
      </c>
      <c r="H36" s="222">
        <v>2</v>
      </c>
      <c r="I36" s="221">
        <v>1</v>
      </c>
      <c r="J36" s="219" t="s">
        <v>142</v>
      </c>
      <c r="K36" s="221"/>
      <c r="L36" s="234" t="s">
        <v>159</v>
      </c>
      <c r="M36" s="1405"/>
      <c r="N36" s="1268"/>
      <c r="O36" s="1269"/>
      <c r="P36" s="645">
        <f>P37</f>
        <v>1500000</v>
      </c>
      <c r="Q36" s="1431"/>
    </row>
    <row r="37" spans="2:17" ht="12.95" customHeight="1" x14ac:dyDescent="0.2">
      <c r="B37" s="80">
        <v>1</v>
      </c>
      <c r="C37" s="33" t="s">
        <v>440</v>
      </c>
      <c r="D37" s="33" t="s">
        <v>142</v>
      </c>
      <c r="E37" s="60" t="s">
        <v>145</v>
      </c>
      <c r="F37" s="33">
        <v>24</v>
      </c>
      <c r="G37" s="222">
        <v>5</v>
      </c>
      <c r="H37" s="222">
        <v>2</v>
      </c>
      <c r="I37" s="221">
        <v>1</v>
      </c>
      <c r="J37" s="219" t="s">
        <v>142</v>
      </c>
      <c r="K37" s="219" t="s">
        <v>142</v>
      </c>
      <c r="L37" s="322" t="s">
        <v>143</v>
      </c>
      <c r="M37" s="1343"/>
      <c r="N37" s="1271"/>
      <c r="O37" s="1272"/>
      <c r="P37" s="642">
        <f>SUM(P38:P38)</f>
        <v>1500000</v>
      </c>
      <c r="Q37" s="1445"/>
    </row>
    <row r="38" spans="2:17" ht="24.6" customHeight="1" x14ac:dyDescent="0.2">
      <c r="B38" s="218"/>
      <c r="C38" s="219"/>
      <c r="D38" s="219"/>
      <c r="E38" s="236"/>
      <c r="F38" s="219"/>
      <c r="G38" s="221"/>
      <c r="H38" s="221"/>
      <c r="I38" s="222"/>
      <c r="J38" s="323"/>
      <c r="K38" s="219"/>
      <c r="L38" s="1569" t="s">
        <v>901</v>
      </c>
      <c r="M38" s="1392">
        <v>6</v>
      </c>
      <c r="N38" s="1570" t="s">
        <v>138</v>
      </c>
      <c r="O38" s="1571">
        <v>250000</v>
      </c>
      <c r="P38" s="1572">
        <f>O38*M38</f>
        <v>1500000</v>
      </c>
      <c r="Q38" s="1457"/>
    </row>
    <row r="39" spans="2:17" ht="12.95" customHeight="1" x14ac:dyDescent="0.2">
      <c r="B39" s="218"/>
      <c r="C39" s="219"/>
      <c r="D39" s="219"/>
      <c r="E39" s="236"/>
      <c r="F39" s="219"/>
      <c r="G39" s="221"/>
      <c r="H39" s="221"/>
      <c r="I39" s="237"/>
      <c r="J39" s="238"/>
      <c r="K39" s="219"/>
      <c r="L39" s="442"/>
      <c r="M39" s="1392"/>
      <c r="N39" s="1230"/>
      <c r="O39" s="1232"/>
      <c r="P39" s="1231"/>
      <c r="Q39" s="1453"/>
    </row>
    <row r="40" spans="2:17" ht="12.95" customHeight="1" x14ac:dyDescent="0.2">
      <c r="B40" s="80">
        <v>1</v>
      </c>
      <c r="C40" s="33" t="s">
        <v>440</v>
      </c>
      <c r="D40" s="33" t="s">
        <v>142</v>
      </c>
      <c r="E40" s="60" t="s">
        <v>145</v>
      </c>
      <c r="F40" s="33">
        <v>24</v>
      </c>
      <c r="G40" s="46">
        <v>5</v>
      </c>
      <c r="H40" s="46">
        <v>2</v>
      </c>
      <c r="I40" s="1079">
        <v>2</v>
      </c>
      <c r="J40" s="1079"/>
      <c r="K40" s="1079"/>
      <c r="L40" s="63" t="s">
        <v>120</v>
      </c>
      <c r="M40" s="1192"/>
      <c r="N40" s="1193"/>
      <c r="O40" s="1194"/>
      <c r="P40" s="89">
        <f>P49+P41-P60</f>
        <v>61585920</v>
      </c>
      <c r="Q40" s="2049"/>
    </row>
    <row r="41" spans="2:17" ht="12.95" customHeight="1" x14ac:dyDescent="0.2">
      <c r="B41" s="80">
        <v>1</v>
      </c>
      <c r="C41" s="33" t="s">
        <v>440</v>
      </c>
      <c r="D41" s="33" t="s">
        <v>142</v>
      </c>
      <c r="E41" s="60" t="s">
        <v>145</v>
      </c>
      <c r="F41" s="33">
        <v>24</v>
      </c>
      <c r="G41" s="46">
        <v>5</v>
      </c>
      <c r="H41" s="46">
        <v>2</v>
      </c>
      <c r="I41" s="1079">
        <v>2</v>
      </c>
      <c r="J41" s="33" t="s">
        <v>142</v>
      </c>
      <c r="K41" s="33"/>
      <c r="L41" s="25" t="s">
        <v>109</v>
      </c>
      <c r="M41" s="1192"/>
      <c r="N41" s="1193"/>
      <c r="O41" s="1194"/>
      <c r="P41" s="89">
        <f>P42</f>
        <v>42788800</v>
      </c>
      <c r="Q41" s="2049"/>
    </row>
    <row r="42" spans="2:17" ht="12.95" customHeight="1" x14ac:dyDescent="0.2">
      <c r="B42" s="80">
        <v>1</v>
      </c>
      <c r="C42" s="33" t="s">
        <v>440</v>
      </c>
      <c r="D42" s="33" t="s">
        <v>142</v>
      </c>
      <c r="E42" s="60" t="s">
        <v>145</v>
      </c>
      <c r="F42" s="33">
        <v>24</v>
      </c>
      <c r="G42" s="46">
        <v>5</v>
      </c>
      <c r="H42" s="46">
        <v>2</v>
      </c>
      <c r="I42" s="1079">
        <v>2</v>
      </c>
      <c r="J42" s="33" t="s">
        <v>142</v>
      </c>
      <c r="K42" s="33" t="s">
        <v>144</v>
      </c>
      <c r="L42" s="26" t="s">
        <v>770</v>
      </c>
      <c r="M42" s="1192"/>
      <c r="N42" s="1193"/>
      <c r="O42" s="1194"/>
      <c r="P42" s="769">
        <f>SUM(P43:P47)</f>
        <v>42788800</v>
      </c>
      <c r="Q42" s="1474"/>
    </row>
    <row r="43" spans="2:17" ht="24.95" customHeight="1" x14ac:dyDescent="0.2">
      <c r="B43" s="80"/>
      <c r="C43" s="33"/>
      <c r="D43" s="33"/>
      <c r="E43" s="60"/>
      <c r="F43" s="33"/>
      <c r="G43" s="46"/>
      <c r="H43" s="46"/>
      <c r="I43" s="1079"/>
      <c r="J43" s="1079"/>
      <c r="K43" s="1079"/>
      <c r="L43" s="651" t="s">
        <v>787</v>
      </c>
      <c r="M43" s="775">
        <f>1*6*12*22</f>
        <v>1584</v>
      </c>
      <c r="N43" s="1107" t="s">
        <v>668</v>
      </c>
      <c r="O43" s="1198">
        <v>7000</v>
      </c>
      <c r="P43" s="1109">
        <f t="shared" ref="P43:P47" si="0">O43*M43</f>
        <v>11088000</v>
      </c>
      <c r="Q43" s="2083"/>
    </row>
    <row r="44" spans="2:17" ht="31.5" customHeight="1" x14ac:dyDescent="0.2">
      <c r="B44" s="80"/>
      <c r="C44" s="33"/>
      <c r="D44" s="33"/>
      <c r="E44" s="60"/>
      <c r="F44" s="33"/>
      <c r="G44" s="46"/>
      <c r="H44" s="46"/>
      <c r="I44" s="1079"/>
      <c r="J44" s="1079"/>
      <c r="K44" s="1079"/>
      <c r="L44" s="652" t="s">
        <v>669</v>
      </c>
      <c r="M44" s="775">
        <f>1*6*12*26</f>
        <v>1872</v>
      </c>
      <c r="N44" s="1107" t="s">
        <v>668</v>
      </c>
      <c r="O44" s="1198">
        <v>6900</v>
      </c>
      <c r="P44" s="1109">
        <f t="shared" si="0"/>
        <v>12916800</v>
      </c>
      <c r="Q44" s="2083"/>
    </row>
    <row r="45" spans="2:17" ht="28.5" customHeight="1" x14ac:dyDescent="0.2">
      <c r="B45" s="80"/>
      <c r="C45" s="33"/>
      <c r="D45" s="33"/>
      <c r="E45" s="60"/>
      <c r="F45" s="33"/>
      <c r="G45" s="46"/>
      <c r="H45" s="46"/>
      <c r="I45" s="1079"/>
      <c r="J45" s="1079"/>
      <c r="K45" s="1079"/>
      <c r="L45" s="652" t="s">
        <v>822</v>
      </c>
      <c r="M45" s="775">
        <f>1*6*12*22</f>
        <v>1584</v>
      </c>
      <c r="N45" s="1107" t="s">
        <v>668</v>
      </c>
      <c r="O45" s="1198">
        <v>7000</v>
      </c>
      <c r="P45" s="1109">
        <f t="shared" si="0"/>
        <v>11088000</v>
      </c>
      <c r="Q45" s="2083"/>
    </row>
    <row r="46" spans="2:17" ht="28.5" customHeight="1" x14ac:dyDescent="0.2">
      <c r="B46" s="80"/>
      <c r="C46" s="33"/>
      <c r="D46" s="33"/>
      <c r="E46" s="60"/>
      <c r="F46" s="33"/>
      <c r="G46" s="46"/>
      <c r="H46" s="46"/>
      <c r="I46" s="1079"/>
      <c r="J46" s="1079"/>
      <c r="K46" s="1079"/>
      <c r="L46" s="652" t="s">
        <v>737</v>
      </c>
      <c r="M46" s="775">
        <f>1*2*12*22</f>
        <v>528</v>
      </c>
      <c r="N46" s="1107" t="s">
        <v>668</v>
      </c>
      <c r="O46" s="1198">
        <v>7000</v>
      </c>
      <c r="P46" s="1109">
        <f t="shared" si="0"/>
        <v>3696000</v>
      </c>
      <c r="Q46" s="2083"/>
    </row>
    <row r="47" spans="2:17" ht="15" customHeight="1" x14ac:dyDescent="0.2">
      <c r="B47" s="80"/>
      <c r="C47" s="33"/>
      <c r="D47" s="33"/>
      <c r="E47" s="60"/>
      <c r="F47" s="33"/>
      <c r="G47" s="46"/>
      <c r="H47" s="46"/>
      <c r="I47" s="1079"/>
      <c r="J47" s="1079"/>
      <c r="K47" s="1079"/>
      <c r="L47" s="652" t="s">
        <v>670</v>
      </c>
      <c r="M47" s="775">
        <v>1</v>
      </c>
      <c r="N47" s="1107" t="s">
        <v>122</v>
      </c>
      <c r="O47" s="1198">
        <v>4000000</v>
      </c>
      <c r="P47" s="1109">
        <f t="shared" si="0"/>
        <v>4000000</v>
      </c>
      <c r="Q47" s="2083"/>
    </row>
    <row r="48" spans="2:17" ht="12.95" customHeight="1" x14ac:dyDescent="0.2">
      <c r="B48" s="80"/>
      <c r="C48" s="33"/>
      <c r="D48" s="33"/>
      <c r="E48" s="60"/>
      <c r="F48" s="33"/>
      <c r="G48" s="46"/>
      <c r="H48" s="46"/>
      <c r="I48" s="1079"/>
      <c r="J48" s="1079"/>
      <c r="K48" s="1079"/>
      <c r="L48" s="63"/>
      <c r="M48" s="1192"/>
      <c r="N48" s="1193"/>
      <c r="O48" s="1194"/>
      <c r="P48" s="89"/>
      <c r="Q48" s="2049"/>
    </row>
    <row r="49" spans="2:18" ht="12.95" customHeight="1" x14ac:dyDescent="0.2">
      <c r="B49" s="80">
        <v>1</v>
      </c>
      <c r="C49" s="33" t="s">
        <v>440</v>
      </c>
      <c r="D49" s="33" t="s">
        <v>142</v>
      </c>
      <c r="E49" s="60" t="s">
        <v>145</v>
      </c>
      <c r="F49" s="33">
        <v>24</v>
      </c>
      <c r="G49" s="46">
        <v>5</v>
      </c>
      <c r="H49" s="46">
        <v>2</v>
      </c>
      <c r="I49" s="1079">
        <v>2</v>
      </c>
      <c r="J49" s="33" t="s">
        <v>168</v>
      </c>
      <c r="K49" s="1079"/>
      <c r="L49" s="25" t="s">
        <v>137</v>
      </c>
      <c r="M49" s="1195"/>
      <c r="N49" s="1196"/>
      <c r="O49" s="270"/>
      <c r="P49" s="89">
        <f>P50+P56+P53</f>
        <v>18797120</v>
      </c>
      <c r="Q49" s="2049"/>
    </row>
    <row r="50" spans="2:18" ht="12.95" customHeight="1" x14ac:dyDescent="0.2">
      <c r="B50" s="80">
        <v>1</v>
      </c>
      <c r="C50" s="33" t="s">
        <v>440</v>
      </c>
      <c r="D50" s="33" t="s">
        <v>142</v>
      </c>
      <c r="E50" s="60" t="s">
        <v>145</v>
      </c>
      <c r="F50" s="33">
        <v>24</v>
      </c>
      <c r="G50" s="46">
        <v>5</v>
      </c>
      <c r="H50" s="46">
        <v>2</v>
      </c>
      <c r="I50" s="1079">
        <v>2</v>
      </c>
      <c r="J50" s="33" t="s">
        <v>168</v>
      </c>
      <c r="K50" s="33" t="s">
        <v>145</v>
      </c>
      <c r="L50" s="26" t="s">
        <v>157</v>
      </c>
      <c r="M50" s="1197"/>
      <c r="N50" s="185"/>
      <c r="O50" s="822"/>
      <c r="P50" s="769">
        <f>P51</f>
        <v>7566480</v>
      </c>
      <c r="Q50" s="1474"/>
    </row>
    <row r="51" spans="2:18" ht="38.450000000000003" customHeight="1" x14ac:dyDescent="0.2">
      <c r="B51" s="80"/>
      <c r="C51" s="33"/>
      <c r="D51" s="33"/>
      <c r="E51" s="60"/>
      <c r="F51" s="33"/>
      <c r="G51" s="46"/>
      <c r="H51" s="46"/>
      <c r="I51" s="1079"/>
      <c r="J51" s="33"/>
      <c r="K51" s="33"/>
      <c r="L51" s="651" t="s">
        <v>823</v>
      </c>
      <c r="M51" s="775">
        <v>1</v>
      </c>
      <c r="N51" s="1107" t="s">
        <v>285</v>
      </c>
      <c r="O51" s="1198">
        <v>7566480</v>
      </c>
      <c r="P51" s="1109">
        <f>O51*M51</f>
        <v>7566480</v>
      </c>
      <c r="Q51" s="2083"/>
    </row>
    <row r="52" spans="2:18" ht="12.95" customHeight="1" x14ac:dyDescent="0.2">
      <c r="B52" s="80"/>
      <c r="C52" s="33"/>
      <c r="D52" s="33"/>
      <c r="E52" s="60"/>
      <c r="F52" s="33"/>
      <c r="G52" s="46"/>
      <c r="H52" s="46"/>
      <c r="I52" s="1079"/>
      <c r="J52" s="1079"/>
      <c r="K52" s="1079"/>
      <c r="L52" s="63"/>
      <c r="M52" s="1192"/>
      <c r="N52" s="1193"/>
      <c r="O52" s="2112"/>
      <c r="P52" s="89"/>
      <c r="Q52" s="2049"/>
    </row>
    <row r="53" spans="2:18" ht="12.95" customHeight="1" x14ac:dyDescent="0.2">
      <c r="B53" s="80">
        <v>1</v>
      </c>
      <c r="C53" s="33" t="s">
        <v>440</v>
      </c>
      <c r="D53" s="33" t="s">
        <v>142</v>
      </c>
      <c r="E53" s="60" t="s">
        <v>145</v>
      </c>
      <c r="F53" s="33">
        <v>24</v>
      </c>
      <c r="G53" s="46">
        <v>5</v>
      </c>
      <c r="H53" s="46">
        <v>2</v>
      </c>
      <c r="I53" s="1079">
        <v>2</v>
      </c>
      <c r="J53" s="33" t="s">
        <v>168</v>
      </c>
      <c r="K53" s="33" t="s">
        <v>164</v>
      </c>
      <c r="L53" s="26" t="s">
        <v>736</v>
      </c>
      <c r="M53" s="1192"/>
      <c r="N53" s="1193"/>
      <c r="O53" s="1194"/>
      <c r="P53" s="769">
        <f>SUM(P54:P54)</f>
        <v>1367040</v>
      </c>
      <c r="Q53" s="1474"/>
    </row>
    <row r="54" spans="2:18" ht="12.95" customHeight="1" x14ac:dyDescent="0.2">
      <c r="B54" s="80"/>
      <c r="C54" s="33"/>
      <c r="D54" s="33"/>
      <c r="E54" s="60"/>
      <c r="F54" s="33"/>
      <c r="G54" s="46"/>
      <c r="H54" s="46"/>
      <c r="I54" s="1079"/>
      <c r="J54" s="1079"/>
      <c r="K54" s="1079"/>
      <c r="L54" s="652" t="s">
        <v>902</v>
      </c>
      <c r="M54" s="775">
        <v>4</v>
      </c>
      <c r="N54" s="1107" t="s">
        <v>903</v>
      </c>
      <c r="O54" s="1198">
        <v>341760</v>
      </c>
      <c r="P54" s="769">
        <f t="shared" ref="P54" si="1">O54*M54</f>
        <v>1367040</v>
      </c>
      <c r="Q54" s="1474"/>
    </row>
    <row r="55" spans="2:18" ht="12.95" customHeight="1" x14ac:dyDescent="0.2">
      <c r="B55" s="80"/>
      <c r="C55" s="33"/>
      <c r="D55" s="33"/>
      <c r="E55" s="60"/>
      <c r="F55" s="33"/>
      <c r="G55" s="46"/>
      <c r="H55" s="46"/>
      <c r="I55" s="1079"/>
      <c r="J55" s="33"/>
      <c r="K55" s="33"/>
      <c r="L55" s="315"/>
      <c r="M55" s="1197"/>
      <c r="N55" s="185"/>
      <c r="O55" s="270"/>
      <c r="P55" s="769"/>
      <c r="Q55" s="1474"/>
      <c r="R55" s="787"/>
    </row>
    <row r="56" spans="2:18" ht="12.95" customHeight="1" x14ac:dyDescent="0.2">
      <c r="B56" s="80">
        <v>1</v>
      </c>
      <c r="C56" s="33" t="s">
        <v>440</v>
      </c>
      <c r="D56" s="33" t="s">
        <v>142</v>
      </c>
      <c r="E56" s="60" t="s">
        <v>145</v>
      </c>
      <c r="F56" s="33">
        <v>24</v>
      </c>
      <c r="G56" s="46">
        <v>5</v>
      </c>
      <c r="H56" s="46">
        <v>2</v>
      </c>
      <c r="I56" s="1079">
        <v>2</v>
      </c>
      <c r="J56" s="33" t="s">
        <v>168</v>
      </c>
      <c r="K56" s="33" t="s">
        <v>168</v>
      </c>
      <c r="L56" s="198" t="s">
        <v>271</v>
      </c>
      <c r="M56" s="1199"/>
      <c r="N56" s="185"/>
      <c r="O56" s="270"/>
      <c r="P56" s="1200">
        <f>SUM(P57:P58)</f>
        <v>9863600</v>
      </c>
      <c r="Q56" s="1474"/>
    </row>
    <row r="57" spans="2:18" ht="26.1" customHeight="1" x14ac:dyDescent="0.2">
      <c r="B57" s="80"/>
      <c r="C57" s="33"/>
      <c r="D57" s="33"/>
      <c r="E57" s="60"/>
      <c r="F57" s="33"/>
      <c r="G57" s="46"/>
      <c r="H57" s="46"/>
      <c r="I57" s="1079"/>
      <c r="J57" s="33"/>
      <c r="K57" s="33"/>
      <c r="L57" s="635" t="s">
        <v>671</v>
      </c>
      <c r="M57" s="776">
        <v>1</v>
      </c>
      <c r="N57" s="1107" t="s">
        <v>3</v>
      </c>
      <c r="O57" s="1108">
        <v>8763600</v>
      </c>
      <c r="P57" s="1201">
        <f>M57*O57</f>
        <v>8763600</v>
      </c>
      <c r="Q57" s="2083"/>
    </row>
    <row r="58" spans="2:18" ht="26.1" customHeight="1" x14ac:dyDescent="0.2">
      <c r="B58" s="80"/>
      <c r="C58" s="33"/>
      <c r="D58" s="33"/>
      <c r="E58" s="60"/>
      <c r="F58" s="33"/>
      <c r="G58" s="46"/>
      <c r="H58" s="46"/>
      <c r="I58" s="1079"/>
      <c r="J58" s="33"/>
      <c r="K58" s="33"/>
      <c r="L58" s="635" t="s">
        <v>673</v>
      </c>
      <c r="M58" s="776">
        <v>1</v>
      </c>
      <c r="N58" s="1107" t="s">
        <v>3</v>
      </c>
      <c r="O58" s="1108">
        <v>1100000</v>
      </c>
      <c r="P58" s="1201">
        <f>M58*O58</f>
        <v>1100000</v>
      </c>
      <c r="Q58" s="2083"/>
    </row>
    <row r="59" spans="2:18" ht="26.1" customHeight="1" x14ac:dyDescent="0.2">
      <c r="B59" s="80"/>
      <c r="C59" s="33"/>
      <c r="D59" s="33"/>
      <c r="E59" s="60"/>
      <c r="F59" s="33"/>
      <c r="G59" s="46"/>
      <c r="H59" s="46"/>
      <c r="I59" s="1079"/>
      <c r="J59" s="33"/>
      <c r="K59" s="33"/>
      <c r="L59" s="635"/>
      <c r="M59" s="776"/>
      <c r="N59" s="1107"/>
      <c r="O59" s="1108"/>
      <c r="P59" s="2106"/>
      <c r="Q59" s="2083"/>
    </row>
    <row r="60" spans="2:18" ht="12.95" customHeight="1" x14ac:dyDescent="0.2">
      <c r="B60" s="80"/>
      <c r="C60" s="33"/>
      <c r="D60" s="33"/>
      <c r="E60" s="60"/>
      <c r="F60" s="33"/>
      <c r="G60" s="46"/>
      <c r="H60" s="46"/>
      <c r="I60" s="1079"/>
      <c r="J60" s="33"/>
      <c r="K60" s="33"/>
      <c r="L60" s="309"/>
      <c r="M60" s="727"/>
      <c r="N60" s="185"/>
      <c r="O60" s="270"/>
      <c r="P60" s="2111"/>
      <c r="Q60" s="1474"/>
    </row>
    <row r="61" spans="2:18" ht="12.95" customHeight="1" x14ac:dyDescent="0.2">
      <c r="B61" s="1075"/>
      <c r="C61" s="1060"/>
      <c r="D61" s="1076"/>
      <c r="E61" s="1076"/>
      <c r="F61" s="1076"/>
      <c r="G61" s="1076"/>
      <c r="H61" s="1076"/>
      <c r="I61" s="1076"/>
      <c r="J61" s="1076"/>
      <c r="K61" s="1076"/>
      <c r="L61" s="1076"/>
      <c r="M61" s="2289" t="s">
        <v>146</v>
      </c>
      <c r="N61" s="2289"/>
      <c r="O61" s="2512"/>
      <c r="P61" s="1887">
        <f>P31</f>
        <v>63085920</v>
      </c>
      <c r="Q61" s="2105"/>
      <c r="R61" s="908"/>
    </row>
    <row r="62" spans="2:18" ht="12.95" customHeight="1" x14ac:dyDescent="0.2">
      <c r="B62" s="808"/>
      <c r="C62" s="1081"/>
      <c r="D62" s="805"/>
      <c r="E62" s="805"/>
      <c r="F62" s="805"/>
      <c r="G62" s="805"/>
      <c r="H62" s="805"/>
      <c r="I62" s="805"/>
      <c r="J62" s="805"/>
      <c r="K62" s="805"/>
      <c r="L62" s="805"/>
      <c r="M62" s="805"/>
      <c r="N62" s="805"/>
      <c r="O62" s="805"/>
      <c r="P62" s="1203"/>
      <c r="Q62" s="2049"/>
      <c r="R62" s="908"/>
    </row>
    <row r="63" spans="2:18" ht="12.95" customHeight="1" x14ac:dyDescent="0.2">
      <c r="B63" s="170"/>
      <c r="C63" s="131"/>
      <c r="D63" s="131"/>
      <c r="E63" s="131"/>
      <c r="F63" s="131"/>
      <c r="G63" s="131"/>
      <c r="H63" s="131"/>
      <c r="I63" s="131"/>
      <c r="J63" s="131"/>
      <c r="K63" s="131"/>
      <c r="L63" s="131"/>
      <c r="M63" s="2506" t="str">
        <f>'RECAP APBD'!E43</f>
        <v>Banda Aceh,                   2020</v>
      </c>
      <c r="N63" s="2506"/>
      <c r="O63" s="2506"/>
      <c r="P63" s="2507"/>
      <c r="Q63" s="2028"/>
      <c r="R63" s="721"/>
    </row>
    <row r="64" spans="2:18" ht="12.95" customHeight="1" x14ac:dyDescent="0.2">
      <c r="B64" s="170"/>
      <c r="C64" s="131"/>
      <c r="D64" s="131"/>
      <c r="E64" s="131"/>
      <c r="F64" s="131"/>
      <c r="G64" s="131"/>
      <c r="H64" s="131"/>
      <c r="I64" s="131"/>
      <c r="J64" s="131"/>
      <c r="K64" s="131"/>
      <c r="L64" s="131"/>
      <c r="M64" s="2449" t="str">
        <f>'RECAP APBD'!E44</f>
        <v>Pengguna Anggaran</v>
      </c>
      <c r="N64" s="2449"/>
      <c r="O64" s="2449"/>
      <c r="P64" s="2600"/>
      <c r="Q64" s="2027"/>
    </row>
    <row r="65" spans="2:17" ht="12.95" customHeight="1" x14ac:dyDescent="0.2">
      <c r="B65" s="170"/>
      <c r="C65" s="131"/>
      <c r="D65" s="131"/>
      <c r="E65" s="131"/>
      <c r="F65" s="131"/>
      <c r="G65" s="131"/>
      <c r="H65" s="131"/>
      <c r="I65" s="131"/>
      <c r="J65" s="131"/>
      <c r="K65" s="131"/>
      <c r="L65" s="131"/>
      <c r="M65" s="2449" t="str">
        <f>'RECAP APBD'!E45</f>
        <v>Satuan Kerja Perangkat Daerah</v>
      </c>
      <c r="N65" s="2449"/>
      <c r="O65" s="2449"/>
      <c r="P65" s="2600"/>
      <c r="Q65" s="2027"/>
    </row>
    <row r="66" spans="2:17" ht="12.95" customHeight="1" x14ac:dyDescent="0.2">
      <c r="B66" s="170"/>
      <c r="C66" s="131"/>
      <c r="D66" s="131"/>
      <c r="E66" s="131"/>
      <c r="F66" s="131"/>
      <c r="G66" s="131"/>
      <c r="H66" s="131"/>
      <c r="I66" s="131"/>
      <c r="J66" s="131"/>
      <c r="K66" s="131"/>
      <c r="L66" s="131"/>
      <c r="M66" s="1067"/>
      <c r="N66" s="1067"/>
      <c r="O66" s="1067"/>
      <c r="P66" s="1084"/>
      <c r="Q66" s="2026"/>
    </row>
    <row r="67" spans="2:17" ht="12.95" customHeight="1" x14ac:dyDescent="0.2">
      <c r="B67" s="170"/>
      <c r="C67" s="131"/>
      <c r="D67" s="131"/>
      <c r="E67" s="131"/>
      <c r="F67" s="131"/>
      <c r="G67" s="131"/>
      <c r="H67" s="131"/>
      <c r="I67" s="131"/>
      <c r="J67" s="131"/>
      <c r="K67" s="131"/>
      <c r="L67" s="131"/>
      <c r="M67" s="1067"/>
      <c r="N67" s="2430"/>
      <c r="O67" s="2430"/>
      <c r="P67" s="2617"/>
      <c r="Q67" s="2026"/>
    </row>
    <row r="68" spans="2:17" ht="12.95" customHeight="1" x14ac:dyDescent="0.2">
      <c r="B68" s="170"/>
      <c r="C68" s="131"/>
      <c r="D68" s="131"/>
      <c r="E68" s="131"/>
      <c r="F68" s="131"/>
      <c r="G68" s="131"/>
      <c r="H68" s="131"/>
      <c r="I68" s="131"/>
      <c r="J68" s="131"/>
      <c r="K68" s="131"/>
      <c r="L68" s="131"/>
      <c r="M68" s="2199" t="str">
        <f>'Pengadaan peraltan '!M55:P55</f>
        <v>Bustami, SH</v>
      </c>
      <c r="N68" s="2199"/>
      <c r="O68" s="2199"/>
      <c r="P68" s="2200"/>
      <c r="Q68" s="2021"/>
    </row>
    <row r="69" spans="2:17" ht="12.95" customHeight="1" x14ac:dyDescent="0.2">
      <c r="B69" s="170"/>
      <c r="C69" s="131"/>
      <c r="D69" s="131"/>
      <c r="E69" s="131"/>
      <c r="F69" s="131"/>
      <c r="G69" s="131"/>
      <c r="H69" s="131"/>
      <c r="I69" s="131"/>
      <c r="J69" s="131"/>
      <c r="K69" s="131"/>
      <c r="L69" s="131"/>
      <c r="M69" s="2614" t="str">
        <f>'Pengadaan peraltan '!M56:P56</f>
        <v>Pembina Utama Muda / Nip. 19630824 198703 1 004</v>
      </c>
      <c r="N69" s="2614"/>
      <c r="O69" s="2614"/>
      <c r="P69" s="2615"/>
      <c r="Q69" s="2031"/>
    </row>
    <row r="70" spans="2:17" ht="12.95" customHeight="1" x14ac:dyDescent="0.2">
      <c r="B70" s="2501" t="s">
        <v>140</v>
      </c>
      <c r="C70" s="2502"/>
      <c r="D70" s="2502"/>
      <c r="E70" s="2502"/>
      <c r="F70" s="2502"/>
      <c r="G70" s="2502"/>
      <c r="H70" s="2502"/>
      <c r="I70" s="2502"/>
      <c r="J70" s="2502"/>
      <c r="K70" s="2502"/>
      <c r="L70" s="2502"/>
      <c r="M70" s="2513"/>
      <c r="N70" s="2513"/>
      <c r="O70" s="2513"/>
      <c r="P70" s="2514"/>
      <c r="Q70" s="571"/>
    </row>
    <row r="71" spans="2:17" ht="12.95" customHeight="1" x14ac:dyDescent="0.2">
      <c r="B71" s="2501" t="s">
        <v>22</v>
      </c>
      <c r="C71" s="2502"/>
      <c r="D71" s="2502"/>
      <c r="E71" s="2502"/>
      <c r="F71" s="2502"/>
      <c r="G71" s="2502"/>
      <c r="H71" s="2502"/>
      <c r="I71" s="2502"/>
      <c r="J71" s="2502"/>
      <c r="K71" s="2502"/>
      <c r="L71" s="2502"/>
      <c r="M71" s="251"/>
      <c r="N71" s="2508"/>
      <c r="O71" s="2508"/>
      <c r="P71" s="2509"/>
      <c r="Q71" s="1490"/>
    </row>
    <row r="72" spans="2:17" ht="12.95" customHeight="1" x14ac:dyDescent="0.2">
      <c r="B72" s="2501" t="s">
        <v>21</v>
      </c>
      <c r="C72" s="2502"/>
      <c r="D72" s="2502"/>
      <c r="E72" s="2502"/>
      <c r="F72" s="2502"/>
      <c r="G72" s="2502"/>
      <c r="H72" s="2502"/>
      <c r="I72" s="2502"/>
      <c r="J72" s="2502"/>
      <c r="K72" s="2502"/>
      <c r="L72" s="2502"/>
      <c r="M72" s="251"/>
      <c r="N72" s="2503"/>
      <c r="O72" s="2503"/>
      <c r="P72" s="2504"/>
      <c r="Q72" s="2034"/>
    </row>
    <row r="73" spans="2:17" ht="12.95" customHeight="1" x14ac:dyDescent="0.2">
      <c r="B73" s="2501" t="s">
        <v>204</v>
      </c>
      <c r="C73" s="2502"/>
      <c r="D73" s="2502"/>
      <c r="E73" s="2502"/>
      <c r="F73" s="2502"/>
      <c r="G73" s="2502"/>
      <c r="H73" s="2502"/>
      <c r="I73" s="2502"/>
      <c r="J73" s="2502"/>
      <c r="K73" s="2502"/>
      <c r="L73" s="2502"/>
      <c r="M73" s="2502"/>
      <c r="N73" s="2502"/>
      <c r="O73" s="2502"/>
      <c r="P73" s="2505"/>
      <c r="Q73" s="572"/>
    </row>
    <row r="74" spans="2:17" ht="12.95" customHeight="1" x14ac:dyDescent="0.2">
      <c r="B74" s="2501" t="s">
        <v>205</v>
      </c>
      <c r="C74" s="2502"/>
      <c r="D74" s="2502"/>
      <c r="E74" s="2502"/>
      <c r="F74" s="2502"/>
      <c r="G74" s="2502"/>
      <c r="H74" s="2502"/>
      <c r="I74" s="2502"/>
      <c r="J74" s="2502"/>
      <c r="K74" s="2502"/>
      <c r="L74" s="2502"/>
      <c r="M74" s="2502"/>
      <c r="N74" s="2502"/>
      <c r="O74" s="2502"/>
      <c r="P74" s="2505"/>
      <c r="Q74" s="572"/>
    </row>
    <row r="75" spans="2:17" ht="12.95" customHeight="1" thickBot="1" x14ac:dyDescent="0.25">
      <c r="B75" s="2517" t="s">
        <v>206</v>
      </c>
      <c r="C75" s="2518"/>
      <c r="D75" s="2518"/>
      <c r="E75" s="2518"/>
      <c r="F75" s="2518"/>
      <c r="G75" s="2518"/>
      <c r="H75" s="2518"/>
      <c r="I75" s="2518"/>
      <c r="J75" s="2518"/>
      <c r="K75" s="2518"/>
      <c r="L75" s="2518"/>
      <c r="M75" s="2518"/>
      <c r="N75" s="2518"/>
      <c r="O75" s="2518"/>
      <c r="P75" s="2519"/>
      <c r="Q75" s="572"/>
    </row>
    <row r="76" spans="2:17" ht="12.95" customHeight="1" thickTop="1" x14ac:dyDescent="0.2">
      <c r="B76" s="2523" t="s">
        <v>25</v>
      </c>
      <c r="C76" s="2524"/>
      <c r="D76" s="2524"/>
      <c r="E76" s="2524"/>
      <c r="F76" s="2524"/>
      <c r="G76" s="2524"/>
      <c r="H76" s="2524"/>
      <c r="I76" s="2524"/>
      <c r="J76" s="2524"/>
      <c r="K76" s="2524"/>
      <c r="L76" s="2524"/>
      <c r="M76" s="2524"/>
      <c r="N76" s="2524"/>
      <c r="O76" s="2524"/>
      <c r="P76" s="2525"/>
      <c r="Q76" s="2023"/>
    </row>
    <row r="77" spans="2:17" ht="12.95" customHeight="1" thickBot="1" x14ac:dyDescent="0.25">
      <c r="B77" s="2526" t="s">
        <v>207</v>
      </c>
      <c r="C77" s="2527"/>
      <c r="D77" s="2528" t="s">
        <v>208</v>
      </c>
      <c r="E77" s="2529"/>
      <c r="F77" s="2529"/>
      <c r="G77" s="2529"/>
      <c r="H77" s="2529"/>
      <c r="I77" s="2529"/>
      <c r="J77" s="2529"/>
      <c r="K77" s="2529"/>
      <c r="L77" s="2530"/>
      <c r="M77" s="2531" t="s">
        <v>209</v>
      </c>
      <c r="N77" s="2530"/>
      <c r="O77" s="4" t="s">
        <v>210</v>
      </c>
      <c r="P77" s="92" t="s">
        <v>211</v>
      </c>
      <c r="Q77" s="2027"/>
    </row>
    <row r="78" spans="2:17" ht="12.95" customHeight="1" thickTop="1" x14ac:dyDescent="0.2">
      <c r="B78" s="2535">
        <v>1</v>
      </c>
      <c r="C78" s="2536"/>
      <c r="D78" s="2532"/>
      <c r="E78" s="2533"/>
      <c r="F78" s="2533"/>
      <c r="G78" s="2533"/>
      <c r="H78" s="2533"/>
      <c r="I78" s="2533"/>
      <c r="J78" s="2533"/>
      <c r="K78" s="2533"/>
      <c r="L78" s="2534"/>
      <c r="M78" s="2538"/>
      <c r="N78" s="2539"/>
      <c r="O78" s="1073"/>
      <c r="P78" s="1177" t="s">
        <v>10</v>
      </c>
      <c r="Q78" s="1257"/>
    </row>
    <row r="79" spans="2:17" ht="12.95" customHeight="1" x14ac:dyDescent="0.2">
      <c r="B79" s="2522">
        <v>2</v>
      </c>
      <c r="C79" s="2240"/>
      <c r="D79" s="1116"/>
      <c r="E79" s="1117"/>
      <c r="F79" s="1117"/>
      <c r="G79" s="1117"/>
      <c r="H79" s="1117"/>
      <c r="I79" s="1117"/>
      <c r="J79" s="1117"/>
      <c r="K79" s="1117"/>
      <c r="L79" s="1118"/>
      <c r="M79" s="2442"/>
      <c r="N79" s="2247"/>
      <c r="O79" s="1085"/>
      <c r="P79" s="1177" t="s">
        <v>11</v>
      </c>
      <c r="Q79" s="1257"/>
    </row>
    <row r="80" spans="2:17" ht="12.95" customHeight="1" x14ac:dyDescent="0.2">
      <c r="B80" s="2522">
        <v>3</v>
      </c>
      <c r="C80" s="2240"/>
      <c r="D80" s="1116"/>
      <c r="E80" s="1117"/>
      <c r="F80" s="1117"/>
      <c r="G80" s="1117"/>
      <c r="H80" s="1117"/>
      <c r="I80" s="1117"/>
      <c r="J80" s="1117"/>
      <c r="K80" s="1117"/>
      <c r="L80" s="1118"/>
      <c r="M80" s="2442"/>
      <c r="N80" s="2247"/>
      <c r="O80" s="1085"/>
      <c r="P80" s="1177" t="s">
        <v>12</v>
      </c>
      <c r="Q80" s="1257"/>
    </row>
    <row r="81" spans="2:20" ht="12.95" customHeight="1" x14ac:dyDescent="0.2">
      <c r="B81" s="2522">
        <v>4</v>
      </c>
      <c r="C81" s="2240"/>
      <c r="D81" s="1116"/>
      <c r="E81" s="1117"/>
      <c r="F81" s="1117"/>
      <c r="G81" s="1117"/>
      <c r="H81" s="1117"/>
      <c r="I81" s="1117"/>
      <c r="J81" s="1117"/>
      <c r="K81" s="1117"/>
      <c r="L81" s="1118"/>
      <c r="M81" s="2443"/>
      <c r="N81" s="2253"/>
      <c r="O81" s="1085"/>
      <c r="P81" s="1177" t="s">
        <v>13</v>
      </c>
      <c r="Q81" s="1257"/>
    </row>
    <row r="82" spans="2:20" ht="12.95" customHeight="1" x14ac:dyDescent="0.2">
      <c r="B82" s="2522">
        <v>5</v>
      </c>
      <c r="C82" s="2240"/>
      <c r="D82" s="1116"/>
      <c r="E82" s="1117"/>
      <c r="F82" s="1117"/>
      <c r="G82" s="1117"/>
      <c r="H82" s="1117"/>
      <c r="I82" s="1117"/>
      <c r="J82" s="1117"/>
      <c r="K82" s="1117"/>
      <c r="L82" s="1118"/>
      <c r="M82" s="2443"/>
      <c r="N82" s="2253"/>
      <c r="O82" s="1085"/>
      <c r="P82" s="1177" t="s">
        <v>14</v>
      </c>
      <c r="Q82" s="1257"/>
    </row>
    <row r="83" spans="2:20" ht="12.95" customHeight="1" x14ac:dyDescent="0.2">
      <c r="B83" s="2522">
        <v>6</v>
      </c>
      <c r="C83" s="2240"/>
      <c r="D83" s="1116"/>
      <c r="E83" s="1117"/>
      <c r="F83" s="1117"/>
      <c r="G83" s="1117"/>
      <c r="H83" s="1117"/>
      <c r="I83" s="1117"/>
      <c r="J83" s="1117"/>
      <c r="K83" s="1117"/>
      <c r="L83" s="1118"/>
      <c r="M83" s="2443"/>
      <c r="N83" s="2253"/>
      <c r="O83" s="1085"/>
      <c r="P83" s="1178" t="s">
        <v>42</v>
      </c>
      <c r="Q83" s="2052"/>
      <c r="R83" s="11"/>
      <c r="S83" s="11"/>
      <c r="T83" s="22"/>
    </row>
    <row r="84" spans="2:20" ht="12.95" customHeight="1" thickBot="1" x14ac:dyDescent="0.25">
      <c r="B84" s="2520">
        <v>7</v>
      </c>
      <c r="C84" s="2521"/>
      <c r="D84" s="1119"/>
      <c r="E84" s="1120"/>
      <c r="F84" s="1120"/>
      <c r="G84" s="1120"/>
      <c r="H84" s="1120"/>
      <c r="I84" s="1120"/>
      <c r="J84" s="1120"/>
      <c r="K84" s="1120"/>
      <c r="L84" s="1121"/>
      <c r="M84" s="2537"/>
      <c r="N84" s="2300"/>
      <c r="O84" s="1061"/>
      <c r="P84" s="1179" t="s">
        <v>487</v>
      </c>
      <c r="Q84" s="2053"/>
    </row>
    <row r="85" spans="2:20" ht="14.25" customHeight="1" thickTop="1" x14ac:dyDescent="0.2"/>
    <row r="86" spans="2:20" ht="14.25" customHeight="1" x14ac:dyDescent="0.2"/>
    <row r="87" spans="2:20" ht="14.25" customHeight="1" x14ac:dyDescent="0.2"/>
    <row r="88" spans="2:20" ht="14.25" customHeight="1" x14ac:dyDescent="0.2"/>
    <row r="89" spans="2:20" ht="14.25" customHeight="1" x14ac:dyDescent="0.2"/>
    <row r="90" spans="2:20" ht="14.25" customHeight="1" x14ac:dyDescent="0.2"/>
    <row r="91" spans="2:20" ht="15" customHeight="1" x14ac:dyDescent="0.2"/>
    <row r="93" spans="2:20" ht="13.5" customHeight="1" x14ac:dyDescent="0.2"/>
  </sheetData>
  <mergeCells count="83">
    <mergeCell ref="B6:K6"/>
    <mergeCell ref="M6:P6"/>
    <mergeCell ref="B82:C82"/>
    <mergeCell ref="B83:C83"/>
    <mergeCell ref="D78:L78"/>
    <mergeCell ref="B7:K7"/>
    <mergeCell ref="M7:P7"/>
    <mergeCell ref="B8:K8"/>
    <mergeCell ref="L11:P11"/>
    <mergeCell ref="B12:K12"/>
    <mergeCell ref="B15:P15"/>
    <mergeCell ref="B13:K13"/>
    <mergeCell ref="B14:K14"/>
    <mergeCell ref="B9:K9"/>
    <mergeCell ref="B11:K11"/>
    <mergeCell ref="M9:P9"/>
    <mergeCell ref="B84:C84"/>
    <mergeCell ref="B79:C79"/>
    <mergeCell ref="B78:C78"/>
    <mergeCell ref="B80:C80"/>
    <mergeCell ref="B81:C81"/>
    <mergeCell ref="P2:P3"/>
    <mergeCell ref="B4:O4"/>
    <mergeCell ref="P4:P5"/>
    <mergeCell ref="B5:O5"/>
    <mergeCell ref="F2:O2"/>
    <mergeCell ref="F3:O3"/>
    <mergeCell ref="B16:K16"/>
    <mergeCell ref="L16:N16"/>
    <mergeCell ref="O16:P16"/>
    <mergeCell ref="B17:K17"/>
    <mergeCell ref="L17:N17"/>
    <mergeCell ref="O17:P17"/>
    <mergeCell ref="B18:K18"/>
    <mergeCell ref="L18:N18"/>
    <mergeCell ref="O18:P18"/>
    <mergeCell ref="B19:K19"/>
    <mergeCell ref="L19:N19"/>
    <mergeCell ref="O19:P19"/>
    <mergeCell ref="B20:K20"/>
    <mergeCell ref="L20:N20"/>
    <mergeCell ref="O20:P20"/>
    <mergeCell ref="B22:P22"/>
    <mergeCell ref="B23:P23"/>
    <mergeCell ref="B21:P21"/>
    <mergeCell ref="B24:P24"/>
    <mergeCell ref="B25:K25"/>
    <mergeCell ref="L25:L28"/>
    <mergeCell ref="M25:O25"/>
    <mergeCell ref="B26:K26"/>
    <mergeCell ref="M26:M28"/>
    <mergeCell ref="N26:N28"/>
    <mergeCell ref="O26:O28"/>
    <mergeCell ref="B27:K27"/>
    <mergeCell ref="B28:K28"/>
    <mergeCell ref="B73:P73"/>
    <mergeCell ref="B74:P74"/>
    <mergeCell ref="B75:P75"/>
    <mergeCell ref="B77:C77"/>
    <mergeCell ref="B29:K29"/>
    <mergeCell ref="M77:N77"/>
    <mergeCell ref="B76:P76"/>
    <mergeCell ref="N72:P72"/>
    <mergeCell ref="D77:L77"/>
    <mergeCell ref="N67:P67"/>
    <mergeCell ref="M68:P68"/>
    <mergeCell ref="N71:P71"/>
    <mergeCell ref="M64:P64"/>
    <mergeCell ref="M63:P63"/>
    <mergeCell ref="M65:P65"/>
    <mergeCell ref="M61:O61"/>
    <mergeCell ref="M78:N78"/>
    <mergeCell ref="M83:N83"/>
    <mergeCell ref="M84:N84"/>
    <mergeCell ref="M79:N79"/>
    <mergeCell ref="M80:N80"/>
    <mergeCell ref="M81:N81"/>
    <mergeCell ref="M82:N82"/>
    <mergeCell ref="B70:L70"/>
    <mergeCell ref="M70:P70"/>
    <mergeCell ref="B71:L71"/>
    <mergeCell ref="B72:L72"/>
    <mergeCell ref="M69:P69"/>
  </mergeCells>
  <phoneticPr fontId="14" type="noConversion"/>
  <pageMargins left="1.03" right="0.23622047244094499" top="0.77" bottom="0.62992125984252001" header="0.196850393700787" footer="0.511811023622047"/>
  <pageSetup paperSize="5" scale="70" orientation="portrait" horizontalDpi="4294967294" verticalDpi="4294967294"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39997558519241921"/>
  </sheetPr>
  <dimension ref="B1:Y74"/>
  <sheetViews>
    <sheetView view="pageBreakPreview" topLeftCell="F23" zoomScale="70" zoomScaleNormal="100" zoomScaleSheetLayoutView="70" workbookViewId="0">
      <selection activeCell="P39" sqref="P39"/>
    </sheetView>
  </sheetViews>
  <sheetFormatPr defaultColWidth="8.7109375" defaultRowHeight="12.75" x14ac:dyDescent="0.2"/>
  <cols>
    <col min="1" max="1" width="5.42578125" style="715" customWidth="1"/>
    <col min="2" max="11" width="2.7109375" style="715" customWidth="1"/>
    <col min="12" max="12" width="47.5703125" style="715" customWidth="1"/>
    <col min="13" max="13" width="8.5703125" style="715" customWidth="1"/>
    <col min="14" max="14" width="10.85546875" style="715" customWidth="1"/>
    <col min="15" max="15" width="13.5703125" style="715" customWidth="1"/>
    <col min="16" max="17" width="16.5703125" style="715" customWidth="1"/>
    <col min="18" max="18" width="18.7109375" style="715" customWidth="1"/>
    <col min="19" max="19" width="14.85546875" style="715" bestFit="1" customWidth="1"/>
    <col min="20" max="16384" width="8.7109375" style="715"/>
  </cols>
  <sheetData>
    <row r="1" spans="2:17" ht="18" customHeight="1" thickBot="1" x14ac:dyDescent="0.25"/>
    <row r="2" spans="2:17" s="716" customFormat="1" ht="18.95" customHeight="1" thickTop="1" x14ac:dyDescent="0.2">
      <c r="B2" s="72"/>
      <c r="C2" s="73"/>
      <c r="D2" s="73"/>
      <c r="E2" s="73"/>
      <c r="F2" s="2174" t="s">
        <v>182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182" t="s">
        <v>33</v>
      </c>
      <c r="C4" s="2183"/>
      <c r="D4" s="2183"/>
      <c r="E4" s="2183"/>
      <c r="F4" s="2183"/>
      <c r="G4" s="2183"/>
      <c r="H4" s="2183"/>
      <c r="I4" s="2183"/>
      <c r="J4" s="2183"/>
      <c r="K4" s="2183"/>
      <c r="L4" s="2183"/>
      <c r="M4" s="2183"/>
      <c r="N4" s="2183"/>
      <c r="O4" s="2604"/>
      <c r="P4" s="2605"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606"/>
      <c r="Q5" s="2040"/>
    </row>
    <row r="6" spans="2:17" ht="12.95" customHeight="1" x14ac:dyDescent="0.2">
      <c r="B6" s="2462" t="s">
        <v>453</v>
      </c>
      <c r="C6" s="2463"/>
      <c r="D6" s="2463"/>
      <c r="E6" s="2463"/>
      <c r="F6" s="2463"/>
      <c r="G6" s="2463"/>
      <c r="H6" s="2463"/>
      <c r="I6" s="2463"/>
      <c r="J6" s="2463"/>
      <c r="K6" s="2463"/>
      <c r="L6" s="1068" t="s">
        <v>442</v>
      </c>
      <c r="M6" s="2213" t="s">
        <v>437</v>
      </c>
      <c r="N6" s="2213"/>
      <c r="O6" s="2213"/>
      <c r="P6" s="2214"/>
      <c r="Q6" s="296"/>
    </row>
    <row r="7" spans="2:17" ht="12.95" customHeight="1" x14ac:dyDescent="0.2">
      <c r="B7" s="2471" t="s">
        <v>19</v>
      </c>
      <c r="C7" s="2355"/>
      <c r="D7" s="2355"/>
      <c r="E7" s="2355"/>
      <c r="F7" s="2355"/>
      <c r="G7" s="2355"/>
      <c r="H7" s="2355"/>
      <c r="I7" s="2355"/>
      <c r="J7" s="2355"/>
      <c r="K7" s="2355"/>
      <c r="L7" s="1066" t="s">
        <v>441</v>
      </c>
      <c r="M7" s="2541" t="s">
        <v>466</v>
      </c>
      <c r="N7" s="2541"/>
      <c r="O7" s="2541"/>
      <c r="P7" s="2542"/>
      <c r="Q7" s="512"/>
    </row>
    <row r="8" spans="2:17" ht="12.95" customHeight="1" x14ac:dyDescent="0.2">
      <c r="B8" s="2471" t="s">
        <v>32</v>
      </c>
      <c r="C8" s="2355"/>
      <c r="D8" s="2355"/>
      <c r="E8" s="2355"/>
      <c r="F8" s="2355"/>
      <c r="G8" s="2355"/>
      <c r="H8" s="2355"/>
      <c r="I8" s="2355"/>
      <c r="J8" s="2355"/>
      <c r="K8" s="2355"/>
      <c r="L8" s="1066" t="s">
        <v>454</v>
      </c>
      <c r="M8" s="29" t="s">
        <v>156</v>
      </c>
      <c r="N8" s="30"/>
      <c r="O8" s="30"/>
      <c r="P8" s="75"/>
      <c r="Q8" s="2054"/>
    </row>
    <row r="9" spans="2:17" s="717" customFormat="1" ht="12.95" customHeight="1" x14ac:dyDescent="0.2">
      <c r="B9" s="2571" t="s">
        <v>20</v>
      </c>
      <c r="C9" s="2548"/>
      <c r="D9" s="2548"/>
      <c r="E9" s="2548"/>
      <c r="F9" s="2548"/>
      <c r="G9" s="2548"/>
      <c r="H9" s="2548"/>
      <c r="I9" s="2548"/>
      <c r="J9" s="2548"/>
      <c r="K9" s="2548"/>
      <c r="L9" s="34" t="s">
        <v>456</v>
      </c>
      <c r="M9" s="29" t="s">
        <v>272</v>
      </c>
      <c r="N9" s="29"/>
      <c r="O9" s="29"/>
      <c r="P9" s="76"/>
      <c r="Q9" s="2043"/>
    </row>
    <row r="10" spans="2:17" s="717" customFormat="1" ht="12.95" customHeight="1" x14ac:dyDescent="0.2">
      <c r="B10" s="1069"/>
      <c r="C10" s="1070"/>
      <c r="D10" s="1070"/>
      <c r="E10" s="1070"/>
      <c r="F10" s="1070"/>
      <c r="G10" s="1070"/>
      <c r="H10" s="1070"/>
      <c r="I10" s="1070"/>
      <c r="J10" s="1070"/>
      <c r="K10" s="1070"/>
      <c r="L10" s="1066"/>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21879130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22973086.5</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8" t="s">
        <v>226</v>
      </c>
      <c r="M16" s="2289"/>
      <c r="N16" s="2480"/>
      <c r="O16" s="2288" t="s">
        <v>227</v>
      </c>
      <c r="P16" s="2290"/>
      <c r="Q16" s="520"/>
    </row>
    <row r="17" spans="2:18" ht="12.95" customHeight="1" x14ac:dyDescent="0.2">
      <c r="B17" s="2454" t="s">
        <v>37</v>
      </c>
      <c r="C17" s="2286"/>
      <c r="D17" s="2286"/>
      <c r="E17" s="2286"/>
      <c r="F17" s="2286"/>
      <c r="G17" s="2286"/>
      <c r="H17" s="2286"/>
      <c r="I17" s="2286"/>
      <c r="J17" s="2286"/>
      <c r="K17" s="2455"/>
      <c r="L17" s="2227" t="s">
        <v>714</v>
      </c>
      <c r="M17" s="2228"/>
      <c r="N17" s="2577"/>
      <c r="O17" s="2474">
        <v>1</v>
      </c>
      <c r="P17" s="2609"/>
      <c r="Q17" s="2096"/>
    </row>
    <row r="18" spans="2:18" ht="12.95" customHeight="1" x14ac:dyDescent="0.2">
      <c r="B18" s="2454" t="s">
        <v>228</v>
      </c>
      <c r="C18" s="2286"/>
      <c r="D18" s="2286"/>
      <c r="E18" s="2286"/>
      <c r="F18" s="2286"/>
      <c r="G18" s="2286"/>
      <c r="H18" s="2286"/>
      <c r="I18" s="2286"/>
      <c r="J18" s="2286"/>
      <c r="K18" s="2455"/>
      <c r="L18" s="2227" t="s">
        <v>287</v>
      </c>
      <c r="M18" s="2228"/>
      <c r="N18" s="2577"/>
      <c r="O18" s="2622">
        <f>P30</f>
        <v>21879130</v>
      </c>
      <c r="P18" s="2611"/>
      <c r="Q18" s="2097"/>
    </row>
    <row r="19" spans="2:18" ht="12.95" customHeight="1" x14ac:dyDescent="0.2">
      <c r="B19" s="2454" t="s">
        <v>229</v>
      </c>
      <c r="C19" s="2286"/>
      <c r="D19" s="2286"/>
      <c r="E19" s="2286"/>
      <c r="F19" s="2286"/>
      <c r="G19" s="2286"/>
      <c r="H19" s="2286"/>
      <c r="I19" s="2286"/>
      <c r="J19" s="2286"/>
      <c r="K19" s="2455"/>
      <c r="L19" s="2227" t="s">
        <v>715</v>
      </c>
      <c r="M19" s="2228"/>
      <c r="N19" s="2577"/>
      <c r="O19" s="2474" t="s">
        <v>716</v>
      </c>
      <c r="P19" s="2609"/>
      <c r="Q19" s="2096"/>
    </row>
    <row r="20" spans="2:18" ht="12.95" customHeight="1" x14ac:dyDescent="0.2">
      <c r="B20" s="2454" t="s">
        <v>230</v>
      </c>
      <c r="C20" s="2286"/>
      <c r="D20" s="2286"/>
      <c r="E20" s="2286"/>
      <c r="F20" s="2286"/>
      <c r="G20" s="2286"/>
      <c r="H20" s="2286"/>
      <c r="I20" s="2286"/>
      <c r="J20" s="2286"/>
      <c r="K20" s="2455"/>
      <c r="L20" s="2227" t="s">
        <v>710</v>
      </c>
      <c r="M20" s="2228"/>
      <c r="N20" s="2577"/>
      <c r="O20" s="2474">
        <v>1</v>
      </c>
      <c r="P20" s="2609"/>
      <c r="Q20" s="2096"/>
    </row>
    <row r="21" spans="2:18" ht="6.95" customHeight="1" x14ac:dyDescent="0.2">
      <c r="B21" s="2445"/>
      <c r="C21" s="2446"/>
      <c r="D21" s="2446"/>
      <c r="E21" s="2446"/>
      <c r="F21" s="2446"/>
      <c r="G21" s="2446"/>
      <c r="H21" s="2446"/>
      <c r="I21" s="2446"/>
      <c r="J21" s="2446"/>
      <c r="K21" s="2446"/>
      <c r="L21" s="2446"/>
      <c r="M21" s="2446"/>
      <c r="N21" s="2446"/>
      <c r="O21" s="2446"/>
      <c r="P21" s="2447"/>
      <c r="Q21" s="2046"/>
    </row>
    <row r="22" spans="2:18" ht="12.95" customHeight="1" x14ac:dyDescent="0.2">
      <c r="B22" s="2215" t="s">
        <v>302</v>
      </c>
      <c r="C22" s="2216"/>
      <c r="D22" s="2216"/>
      <c r="E22" s="2216"/>
      <c r="F22" s="2216"/>
      <c r="G22" s="2216"/>
      <c r="H22" s="2216"/>
      <c r="I22" s="2216"/>
      <c r="J22" s="2216"/>
      <c r="K22" s="2216"/>
      <c r="L22" s="2216"/>
      <c r="M22" s="2216"/>
      <c r="N22" s="2216"/>
      <c r="O22" s="2216"/>
      <c r="P22" s="2486"/>
      <c r="Q22" s="2022"/>
    </row>
    <row r="23" spans="2:18" ht="12.95" customHeight="1" x14ac:dyDescent="0.2">
      <c r="B23" s="2487" t="s">
        <v>231</v>
      </c>
      <c r="C23" s="2488"/>
      <c r="D23" s="2488"/>
      <c r="E23" s="2488"/>
      <c r="F23" s="2488"/>
      <c r="G23" s="2488"/>
      <c r="H23" s="2488"/>
      <c r="I23" s="2488"/>
      <c r="J23" s="2488"/>
      <c r="K23" s="2488"/>
      <c r="L23" s="2488"/>
      <c r="M23" s="2488"/>
      <c r="N23" s="2488"/>
      <c r="O23" s="2488"/>
      <c r="P23" s="2489"/>
      <c r="Q23" s="520"/>
    </row>
    <row r="24" spans="2:18" ht="12.95" customHeight="1" x14ac:dyDescent="0.2">
      <c r="B24" s="2490" t="s">
        <v>38</v>
      </c>
      <c r="C24" s="2491"/>
      <c r="D24" s="2491"/>
      <c r="E24" s="2491"/>
      <c r="F24" s="2491"/>
      <c r="G24" s="2491"/>
      <c r="H24" s="2491"/>
      <c r="I24" s="2491"/>
      <c r="J24" s="2491"/>
      <c r="K24" s="2491"/>
      <c r="L24" s="2491"/>
      <c r="M24" s="2491"/>
      <c r="N24" s="2491"/>
      <c r="O24" s="2491"/>
      <c r="P24" s="2492"/>
      <c r="Q24" s="520"/>
    </row>
    <row r="25" spans="2:18" ht="12.95" customHeight="1" x14ac:dyDescent="0.2">
      <c r="B25" s="2493"/>
      <c r="C25" s="2264"/>
      <c r="D25" s="2264"/>
      <c r="E25" s="2264"/>
      <c r="F25" s="2264"/>
      <c r="G25" s="2264"/>
      <c r="H25" s="2264"/>
      <c r="I25" s="2264"/>
      <c r="J25" s="2264"/>
      <c r="K25" s="2494"/>
      <c r="L25" s="2311" t="s">
        <v>191</v>
      </c>
      <c r="M25" s="2498" t="s">
        <v>198</v>
      </c>
      <c r="N25" s="2499"/>
      <c r="O25" s="2500"/>
      <c r="P25" s="718"/>
      <c r="Q25" s="730"/>
    </row>
    <row r="26" spans="2:18" ht="12.95" customHeight="1" x14ac:dyDescent="0.2">
      <c r="B26" s="2448" t="s">
        <v>189</v>
      </c>
      <c r="C26" s="2449"/>
      <c r="D26" s="2449"/>
      <c r="E26" s="2449"/>
      <c r="F26" s="2449"/>
      <c r="G26" s="2449"/>
      <c r="H26" s="2449"/>
      <c r="I26" s="2449"/>
      <c r="J26" s="2449"/>
      <c r="K26" s="2450"/>
      <c r="L26" s="2405"/>
      <c r="M26" s="2399" t="s">
        <v>200</v>
      </c>
      <c r="N26" s="2311" t="s">
        <v>26</v>
      </c>
      <c r="O26" s="2311" t="s">
        <v>217</v>
      </c>
      <c r="P26" s="78" t="s">
        <v>192</v>
      </c>
      <c r="Q26" s="2027"/>
    </row>
    <row r="27" spans="2:18" ht="12.95" customHeight="1" x14ac:dyDescent="0.2">
      <c r="B27" s="2448" t="s">
        <v>197</v>
      </c>
      <c r="C27" s="2449"/>
      <c r="D27" s="2449"/>
      <c r="E27" s="2449"/>
      <c r="F27" s="2449"/>
      <c r="G27" s="2449"/>
      <c r="H27" s="2449"/>
      <c r="I27" s="2449"/>
      <c r="J27" s="2449"/>
      <c r="K27" s="2450"/>
      <c r="L27" s="2405"/>
      <c r="M27" s="2496"/>
      <c r="N27" s="2405"/>
      <c r="O27" s="2405"/>
      <c r="P27" s="78" t="s">
        <v>193</v>
      </c>
      <c r="Q27" s="2027"/>
    </row>
    <row r="28" spans="2:18" ht="12.95" customHeight="1" x14ac:dyDescent="0.2">
      <c r="B28" s="2451"/>
      <c r="C28" s="2452"/>
      <c r="D28" s="2452"/>
      <c r="E28" s="2452"/>
      <c r="F28" s="2452"/>
      <c r="G28" s="2452"/>
      <c r="H28" s="2452"/>
      <c r="I28" s="2452"/>
      <c r="J28" s="2452"/>
      <c r="K28" s="2453"/>
      <c r="L28" s="2406"/>
      <c r="M28" s="2497"/>
      <c r="N28" s="2406"/>
      <c r="O28" s="2406"/>
      <c r="P28" s="719"/>
      <c r="Q28" s="2047"/>
    </row>
    <row r="29" spans="2:18" ht="12.95" customHeight="1" thickBot="1" x14ac:dyDescent="0.25">
      <c r="B29" s="2483">
        <v>1</v>
      </c>
      <c r="C29" s="2484"/>
      <c r="D29" s="2484"/>
      <c r="E29" s="2484"/>
      <c r="F29" s="2484"/>
      <c r="G29" s="2484"/>
      <c r="H29" s="2484"/>
      <c r="I29" s="2484"/>
      <c r="J29" s="2484"/>
      <c r="K29" s="2485"/>
      <c r="L29" s="1077">
        <v>2</v>
      </c>
      <c r="M29" s="1077">
        <v>3</v>
      </c>
      <c r="N29" s="1077">
        <v>4</v>
      </c>
      <c r="O29" s="12">
        <v>5</v>
      </c>
      <c r="P29" s="79" t="s">
        <v>24</v>
      </c>
      <c r="Q29" s="2027"/>
    </row>
    <row r="30" spans="2:18" ht="12.95" customHeight="1" thickTop="1" x14ac:dyDescent="0.2">
      <c r="B30" s="80">
        <v>1</v>
      </c>
      <c r="C30" s="33" t="s">
        <v>440</v>
      </c>
      <c r="D30" s="33" t="s">
        <v>142</v>
      </c>
      <c r="E30" s="59"/>
      <c r="F30" s="1079"/>
      <c r="G30" s="46">
        <v>5</v>
      </c>
      <c r="H30" s="46">
        <v>2</v>
      </c>
      <c r="I30" s="1079"/>
      <c r="J30" s="1079"/>
      <c r="K30" s="1079"/>
      <c r="L30" s="28" t="s">
        <v>108</v>
      </c>
      <c r="M30" s="16"/>
      <c r="N30" s="16"/>
      <c r="O30" s="18"/>
      <c r="P30" s="259">
        <f>P31</f>
        <v>21879130</v>
      </c>
      <c r="Q30" s="301">
        <v>181879130</v>
      </c>
      <c r="R30" s="1185">
        <f>L12</f>
        <v>0</v>
      </c>
    </row>
    <row r="31" spans="2:18" ht="12.95" customHeight="1" x14ac:dyDescent="0.2">
      <c r="B31" s="80">
        <v>1</v>
      </c>
      <c r="C31" s="33" t="s">
        <v>440</v>
      </c>
      <c r="D31" s="33" t="s">
        <v>142</v>
      </c>
      <c r="E31" s="60" t="s">
        <v>145</v>
      </c>
      <c r="F31" s="1079"/>
      <c r="G31" s="46"/>
      <c r="H31" s="46"/>
      <c r="I31" s="1079"/>
      <c r="J31" s="1079"/>
      <c r="K31" s="1079"/>
      <c r="L31" s="96" t="s">
        <v>154</v>
      </c>
      <c r="M31" s="1412"/>
      <c r="N31" s="16"/>
      <c r="O31" s="18"/>
      <c r="P31" s="259">
        <f>P32</f>
        <v>21879130</v>
      </c>
      <c r="Q31" s="301"/>
      <c r="R31" s="725">
        <f>P30-R30</f>
        <v>21879130</v>
      </c>
    </row>
    <row r="32" spans="2:18" ht="12.95" customHeight="1" x14ac:dyDescent="0.2">
      <c r="B32" s="80">
        <v>1</v>
      </c>
      <c r="C32" s="33" t="s">
        <v>440</v>
      </c>
      <c r="D32" s="33" t="s">
        <v>142</v>
      </c>
      <c r="E32" s="60" t="s">
        <v>145</v>
      </c>
      <c r="F32" s="33">
        <v>28</v>
      </c>
      <c r="G32" s="46"/>
      <c r="H32" s="46"/>
      <c r="I32" s="1079"/>
      <c r="J32" s="1079"/>
      <c r="K32" s="33"/>
      <c r="L32" s="64" t="s">
        <v>0</v>
      </c>
      <c r="M32" s="1415"/>
      <c r="N32" s="50"/>
      <c r="O32" s="50"/>
      <c r="P32" s="259">
        <f>P36</f>
        <v>21879130</v>
      </c>
      <c r="Q32" s="301"/>
    </row>
    <row r="33" spans="2:25" ht="12.95" customHeight="1" x14ac:dyDescent="0.2">
      <c r="B33" s="80"/>
      <c r="C33" s="33"/>
      <c r="D33" s="33"/>
      <c r="E33" s="60"/>
      <c r="F33" s="33"/>
      <c r="G33" s="46"/>
      <c r="H33" s="46"/>
      <c r="I33" s="1079"/>
      <c r="J33" s="1079"/>
      <c r="K33" s="33"/>
      <c r="L33" s="66" t="s">
        <v>158</v>
      </c>
      <c r="M33" s="1416"/>
      <c r="N33" s="51"/>
      <c r="O33" s="51"/>
      <c r="P33" s="260"/>
      <c r="Q33" s="1188"/>
    </row>
    <row r="34" spans="2:25" ht="12.95" customHeight="1" x14ac:dyDescent="0.2">
      <c r="B34" s="80"/>
      <c r="C34" s="33"/>
      <c r="D34" s="33"/>
      <c r="E34" s="60"/>
      <c r="F34" s="33"/>
      <c r="G34" s="46"/>
      <c r="H34" s="46"/>
      <c r="I34" s="1079"/>
      <c r="J34" s="1079"/>
      <c r="K34" s="33"/>
      <c r="L34" s="58"/>
      <c r="M34" s="1412"/>
      <c r="N34" s="18"/>
      <c r="O34" s="17"/>
      <c r="P34" s="260"/>
      <c r="Q34" s="1188"/>
    </row>
    <row r="35" spans="2:25" ht="12.95" customHeight="1" x14ac:dyDescent="0.2">
      <c r="B35" s="80">
        <v>1</v>
      </c>
      <c r="C35" s="33" t="s">
        <v>440</v>
      </c>
      <c r="D35" s="33" t="s">
        <v>142</v>
      </c>
      <c r="E35" s="60" t="s">
        <v>145</v>
      </c>
      <c r="F35" s="33">
        <v>28</v>
      </c>
      <c r="G35" s="46">
        <v>5</v>
      </c>
      <c r="H35" s="46">
        <v>2</v>
      </c>
      <c r="I35" s="1079">
        <v>2</v>
      </c>
      <c r="J35" s="1079"/>
      <c r="K35" s="1079"/>
      <c r="L35" s="25" t="s">
        <v>120</v>
      </c>
      <c r="M35" s="1122"/>
      <c r="N35" s="262"/>
      <c r="O35" s="184"/>
      <c r="P35" s="259">
        <f>P36</f>
        <v>21879130</v>
      </c>
      <c r="Q35" s="301"/>
      <c r="S35" s="725"/>
    </row>
    <row r="36" spans="2:25" ht="12.95" customHeight="1" x14ac:dyDescent="0.2">
      <c r="B36" s="80">
        <v>1</v>
      </c>
      <c r="C36" s="33" t="s">
        <v>440</v>
      </c>
      <c r="D36" s="33" t="s">
        <v>142</v>
      </c>
      <c r="E36" s="60" t="s">
        <v>145</v>
      </c>
      <c r="F36" s="33">
        <v>28</v>
      </c>
      <c r="G36" s="46">
        <v>5</v>
      </c>
      <c r="H36" s="46">
        <v>2</v>
      </c>
      <c r="I36" s="1079">
        <v>2</v>
      </c>
      <c r="J36" s="33">
        <v>20</v>
      </c>
      <c r="K36" s="1079"/>
      <c r="L36" s="57" t="s">
        <v>266</v>
      </c>
      <c r="M36" s="1122"/>
      <c r="N36" s="263"/>
      <c r="O36" s="264"/>
      <c r="P36" s="259">
        <f>P37-P49</f>
        <v>21879130</v>
      </c>
      <c r="Q36" s="301"/>
    </row>
    <row r="37" spans="2:25" ht="12.95" customHeight="1" x14ac:dyDescent="0.2">
      <c r="B37" s="80">
        <v>1</v>
      </c>
      <c r="C37" s="33" t="s">
        <v>440</v>
      </c>
      <c r="D37" s="33" t="s">
        <v>142</v>
      </c>
      <c r="E37" s="60" t="s">
        <v>145</v>
      </c>
      <c r="F37" s="33">
        <v>28</v>
      </c>
      <c r="G37" s="46">
        <v>5</v>
      </c>
      <c r="H37" s="46">
        <v>2</v>
      </c>
      <c r="I37" s="1079">
        <v>2</v>
      </c>
      <c r="J37" s="33">
        <v>20</v>
      </c>
      <c r="K37" s="33">
        <v>13</v>
      </c>
      <c r="L37" s="200" t="s">
        <v>327</v>
      </c>
      <c r="M37" s="1122"/>
      <c r="N37" s="262"/>
      <c r="O37" s="184"/>
      <c r="P37" s="260">
        <f>SUM(P38:P47)</f>
        <v>21879130</v>
      </c>
      <c r="Q37" s="1188"/>
    </row>
    <row r="38" spans="2:25" ht="12.95" customHeight="1" x14ac:dyDescent="0.2">
      <c r="B38" s="80"/>
      <c r="C38" s="1079"/>
      <c r="D38" s="1079"/>
      <c r="E38" s="46"/>
      <c r="F38" s="46"/>
      <c r="G38" s="46"/>
      <c r="H38" s="46"/>
      <c r="I38" s="46"/>
      <c r="J38" s="46"/>
      <c r="K38" s="45"/>
      <c r="L38" s="1541" t="s">
        <v>1029</v>
      </c>
      <c r="M38" s="1528">
        <v>0</v>
      </c>
      <c r="N38" s="1574" t="s">
        <v>941</v>
      </c>
      <c r="O38" s="1561">
        <v>0</v>
      </c>
      <c r="P38" s="260">
        <f>O38*M38</f>
        <v>0</v>
      </c>
      <c r="Q38" s="1188"/>
    </row>
    <row r="39" spans="2:25" ht="12.95" customHeight="1" x14ac:dyDescent="0.2">
      <c r="B39" s="80"/>
      <c r="C39" s="1079"/>
      <c r="D39" s="1079"/>
      <c r="E39" s="46"/>
      <c r="F39" s="46"/>
      <c r="G39" s="46"/>
      <c r="H39" s="46"/>
      <c r="I39" s="46"/>
      <c r="J39" s="46"/>
      <c r="K39" s="45"/>
      <c r="L39" s="1541" t="s">
        <v>912</v>
      </c>
      <c r="M39" s="1528">
        <v>14</v>
      </c>
      <c r="N39" s="1574" t="s">
        <v>841</v>
      </c>
      <c r="O39" s="1561">
        <v>280320</v>
      </c>
      <c r="P39" s="260">
        <f>O39*M39</f>
        <v>3924480</v>
      </c>
      <c r="Q39" s="1188"/>
    </row>
    <row r="40" spans="2:25" ht="12.95" customHeight="1" x14ac:dyDescent="0.2">
      <c r="B40" s="80"/>
      <c r="C40" s="1079"/>
      <c r="D40" s="1079"/>
      <c r="E40" s="46"/>
      <c r="F40" s="46"/>
      <c r="G40" s="46"/>
      <c r="H40" s="46"/>
      <c r="I40" s="46"/>
      <c r="J40" s="46"/>
      <c r="K40" s="45"/>
      <c r="L40" s="1541" t="s">
        <v>904</v>
      </c>
      <c r="M40" s="1536">
        <v>10</v>
      </c>
      <c r="N40" s="1539" t="s">
        <v>841</v>
      </c>
      <c r="O40" s="1533">
        <v>256000</v>
      </c>
      <c r="P40" s="260">
        <f t="shared" ref="P40:P47" si="0">O40*M40</f>
        <v>2560000</v>
      </c>
      <c r="Q40" s="1188"/>
    </row>
    <row r="41" spans="2:25" ht="12.95" customHeight="1" x14ac:dyDescent="0.2">
      <c r="B41" s="80"/>
      <c r="C41" s="1079"/>
      <c r="D41" s="1079"/>
      <c r="E41" s="46"/>
      <c r="F41" s="46"/>
      <c r="G41" s="46"/>
      <c r="H41" s="46"/>
      <c r="I41" s="46"/>
      <c r="J41" s="46"/>
      <c r="K41" s="45"/>
      <c r="L41" s="1541" t="s">
        <v>905</v>
      </c>
      <c r="M41" s="1536">
        <v>15</v>
      </c>
      <c r="N41" s="1539" t="s">
        <v>841</v>
      </c>
      <c r="O41" s="1533">
        <v>280320</v>
      </c>
      <c r="P41" s="260">
        <f t="shared" si="0"/>
        <v>4204800</v>
      </c>
      <c r="Q41" s="1188"/>
    </row>
    <row r="42" spans="2:25" ht="12.95" customHeight="1" x14ac:dyDescent="0.2">
      <c r="B42" s="80"/>
      <c r="C42" s="1079"/>
      <c r="D42" s="1079"/>
      <c r="E42" s="46"/>
      <c r="F42" s="46"/>
      <c r="G42" s="46"/>
      <c r="H42" s="46"/>
      <c r="I42" s="46"/>
      <c r="J42" s="46"/>
      <c r="K42" s="45"/>
      <c r="L42" s="1541" t="s">
        <v>906</v>
      </c>
      <c r="M42" s="1536">
        <v>18</v>
      </c>
      <c r="N42" s="1539" t="s">
        <v>841</v>
      </c>
      <c r="O42" s="1533">
        <v>142940</v>
      </c>
      <c r="P42" s="260">
        <f t="shared" si="0"/>
        <v>2572920</v>
      </c>
      <c r="Q42" s="1188"/>
    </row>
    <row r="43" spans="2:25" ht="12.95" customHeight="1" x14ac:dyDescent="0.2">
      <c r="B43" s="80"/>
      <c r="C43" s="1079"/>
      <c r="D43" s="1079"/>
      <c r="E43" s="46"/>
      <c r="F43" s="46"/>
      <c r="G43" s="46"/>
      <c r="H43" s="46"/>
      <c r="I43" s="46"/>
      <c r="J43" s="46"/>
      <c r="K43" s="45"/>
      <c r="L43" s="1541" t="s">
        <v>907</v>
      </c>
      <c r="M43" s="1536">
        <v>1</v>
      </c>
      <c r="N43" s="1539" t="s">
        <v>841</v>
      </c>
      <c r="O43" s="1533">
        <v>615650</v>
      </c>
      <c r="P43" s="260">
        <f t="shared" si="0"/>
        <v>615650</v>
      </c>
      <c r="Q43" s="1188"/>
    </row>
    <row r="44" spans="2:25" ht="12.95" customHeight="1" x14ac:dyDescent="0.2">
      <c r="B44" s="80"/>
      <c r="C44" s="1079"/>
      <c r="D44" s="1079"/>
      <c r="E44" s="46"/>
      <c r="F44" s="46"/>
      <c r="G44" s="46"/>
      <c r="H44" s="46"/>
      <c r="I44" s="46"/>
      <c r="J44" s="46"/>
      <c r="K44" s="45"/>
      <c r="L44" s="1541" t="s">
        <v>908</v>
      </c>
      <c r="M44" s="1536">
        <v>1</v>
      </c>
      <c r="N44" s="1539" t="s">
        <v>841</v>
      </c>
      <c r="O44" s="1533">
        <v>526080</v>
      </c>
      <c r="P44" s="260">
        <f t="shared" si="0"/>
        <v>526080</v>
      </c>
      <c r="Q44" s="1188"/>
    </row>
    <row r="45" spans="2:25" ht="12.95" customHeight="1" x14ac:dyDescent="0.2">
      <c r="B45" s="80"/>
      <c r="C45" s="1079"/>
      <c r="D45" s="1079"/>
      <c r="E45" s="46"/>
      <c r="F45" s="46"/>
      <c r="G45" s="46"/>
      <c r="H45" s="46"/>
      <c r="I45" s="46"/>
      <c r="J45" s="46"/>
      <c r="K45" s="45"/>
      <c r="L45" s="1541" t="s">
        <v>909</v>
      </c>
      <c r="M45" s="1536">
        <v>10</v>
      </c>
      <c r="N45" s="1539" t="s">
        <v>841</v>
      </c>
      <c r="O45" s="1533">
        <v>398080</v>
      </c>
      <c r="P45" s="260">
        <f t="shared" si="0"/>
        <v>3980800</v>
      </c>
      <c r="Q45" s="1188"/>
      <c r="S45" s="402"/>
      <c r="T45" s="1186"/>
      <c r="U45" s="1187"/>
      <c r="V45" s="1187"/>
      <c r="W45" s="1188"/>
      <c r="X45" s="1188"/>
      <c r="Y45" s="730"/>
    </row>
    <row r="46" spans="2:25" ht="12.95" customHeight="1" x14ac:dyDescent="0.2">
      <c r="B46" s="84"/>
      <c r="C46" s="39"/>
      <c r="D46" s="39"/>
      <c r="E46" s="54"/>
      <c r="F46" s="54"/>
      <c r="G46" s="39"/>
      <c r="H46" s="39"/>
      <c r="I46" s="39"/>
      <c r="J46" s="39"/>
      <c r="K46" s="1573"/>
      <c r="L46" s="1541" t="s">
        <v>910</v>
      </c>
      <c r="M46" s="1536">
        <v>7</v>
      </c>
      <c r="N46" s="1539" t="s">
        <v>841</v>
      </c>
      <c r="O46" s="1533">
        <v>448000</v>
      </c>
      <c r="P46" s="260">
        <f t="shared" si="0"/>
        <v>3136000</v>
      </c>
      <c r="Q46" s="1188"/>
    </row>
    <row r="47" spans="2:25" ht="12.95" customHeight="1" x14ac:dyDescent="0.2">
      <c r="B47" s="84"/>
      <c r="C47" s="39"/>
      <c r="D47" s="39"/>
      <c r="E47" s="54"/>
      <c r="F47" s="54"/>
      <c r="G47" s="39"/>
      <c r="H47" s="39"/>
      <c r="I47" s="39"/>
      <c r="J47" s="39"/>
      <c r="K47" s="1573"/>
      <c r="L47" s="1541" t="s">
        <v>911</v>
      </c>
      <c r="M47" s="1536">
        <v>1</v>
      </c>
      <c r="N47" s="1539" t="s">
        <v>841</v>
      </c>
      <c r="O47" s="1533">
        <v>358400</v>
      </c>
      <c r="P47" s="260">
        <f t="shared" si="0"/>
        <v>358400</v>
      </c>
      <c r="Q47" s="1188"/>
    </row>
    <row r="48" spans="2:25" ht="12.95" customHeight="1" x14ac:dyDescent="0.2">
      <c r="B48" s="84"/>
      <c r="C48" s="39"/>
      <c r="D48" s="39"/>
      <c r="E48" s="54"/>
      <c r="F48" s="54"/>
      <c r="G48" s="39"/>
      <c r="H48" s="39"/>
      <c r="I48" s="39"/>
      <c r="J48" s="39"/>
      <c r="K48" s="1573"/>
      <c r="L48" s="2063"/>
      <c r="M48" s="2064"/>
      <c r="N48" s="2064"/>
      <c r="O48" s="2107"/>
      <c r="P48" s="1189"/>
      <c r="Q48" s="1188"/>
    </row>
    <row r="49" spans="2:20" ht="12.95" customHeight="1" thickBot="1" x14ac:dyDescent="0.25">
      <c r="B49" s="85"/>
      <c r="C49" s="708"/>
      <c r="D49" s="708"/>
      <c r="E49" s="65"/>
      <c r="F49" s="65"/>
      <c r="G49" s="62"/>
      <c r="H49" s="62"/>
      <c r="I49" s="62"/>
      <c r="J49" s="62"/>
      <c r="K49" s="708"/>
      <c r="L49" s="24"/>
      <c r="M49" s="1190"/>
      <c r="N49" s="1124"/>
      <c r="O49" s="828"/>
      <c r="P49" s="1401"/>
      <c r="Q49" s="1188"/>
    </row>
    <row r="50" spans="2:20" ht="12.95" customHeight="1" thickBot="1" x14ac:dyDescent="0.25">
      <c r="B50" s="110"/>
      <c r="C50" s="107"/>
      <c r="D50" s="107"/>
      <c r="E50" s="107"/>
      <c r="F50" s="107"/>
      <c r="G50" s="107"/>
      <c r="H50" s="107"/>
      <c r="I50" s="107"/>
      <c r="J50" s="107"/>
      <c r="K50" s="107"/>
      <c r="L50" s="107"/>
      <c r="M50" s="2620" t="s">
        <v>199</v>
      </c>
      <c r="N50" s="2620"/>
      <c r="O50" s="2621"/>
      <c r="P50" s="1886">
        <f>P32</f>
        <v>21879130</v>
      </c>
      <c r="Q50" s="2102"/>
    </row>
    <row r="51" spans="2:20" ht="12.95" customHeight="1" x14ac:dyDescent="0.2">
      <c r="B51" s="1180"/>
      <c r="C51" s="1181"/>
      <c r="D51" s="1181"/>
      <c r="E51" s="1181"/>
      <c r="F51" s="1181"/>
      <c r="G51" s="1181"/>
      <c r="H51" s="1181"/>
      <c r="I51" s="1181"/>
      <c r="J51" s="1181"/>
      <c r="K51" s="1181"/>
      <c r="L51" s="1181"/>
      <c r="M51" s="1181"/>
      <c r="N51" s="1181"/>
      <c r="O51" s="1181"/>
      <c r="P51" s="1496"/>
      <c r="Q51" s="2047"/>
    </row>
    <row r="52" spans="2:20" ht="12.95" customHeight="1" x14ac:dyDescent="0.2">
      <c r="B52" s="170"/>
      <c r="C52" s="131"/>
      <c r="D52" s="131"/>
      <c r="E52" s="131"/>
      <c r="F52" s="131"/>
      <c r="G52" s="131"/>
      <c r="H52" s="131"/>
      <c r="I52" s="131"/>
      <c r="J52" s="131"/>
      <c r="K52" s="131"/>
      <c r="L52" s="131"/>
      <c r="M52" s="2506" t="str">
        <f>'RECAP APBD'!E43</f>
        <v>Banda Aceh,                   2020</v>
      </c>
      <c r="N52" s="2506"/>
      <c r="O52" s="2506"/>
      <c r="P52" s="2507"/>
      <c r="Q52" s="2028"/>
    </row>
    <row r="53" spans="2:20" ht="12.95" customHeight="1" x14ac:dyDescent="0.2">
      <c r="B53" s="170"/>
      <c r="C53" s="131"/>
      <c r="D53" s="131"/>
      <c r="E53" s="131"/>
      <c r="F53" s="131"/>
      <c r="G53" s="131"/>
      <c r="H53" s="131"/>
      <c r="I53" s="131"/>
      <c r="J53" s="131"/>
      <c r="K53" s="131"/>
      <c r="L53" s="131"/>
      <c r="M53" s="2449" t="str">
        <f>'RECAP APBD'!E44</f>
        <v>Pengguna Anggaran</v>
      </c>
      <c r="N53" s="2449"/>
      <c r="O53" s="2449"/>
      <c r="P53" s="2600"/>
      <c r="Q53" s="2027"/>
    </row>
    <row r="54" spans="2:20" ht="12.95" customHeight="1" x14ac:dyDescent="0.2">
      <c r="B54" s="170"/>
      <c r="C54" s="131"/>
      <c r="D54" s="131"/>
      <c r="E54" s="131"/>
      <c r="F54" s="131"/>
      <c r="G54" s="131"/>
      <c r="H54" s="131"/>
      <c r="I54" s="131"/>
      <c r="J54" s="131"/>
      <c r="K54" s="131"/>
      <c r="L54" s="131"/>
      <c r="M54" s="2449" t="str">
        <f>'RECAP APBD'!E45</f>
        <v>Satuan Kerja Perangkat Daerah</v>
      </c>
      <c r="N54" s="2449"/>
      <c r="O54" s="2449"/>
      <c r="P54" s="2600"/>
      <c r="Q54" s="2027"/>
      <c r="R54" s="11"/>
      <c r="S54" s="11"/>
      <c r="T54" s="22"/>
    </row>
    <row r="55" spans="2:20" ht="12.95" customHeight="1" x14ac:dyDescent="0.2">
      <c r="B55" s="170"/>
      <c r="C55" s="131"/>
      <c r="D55" s="131"/>
      <c r="E55" s="131"/>
      <c r="F55" s="131"/>
      <c r="G55" s="131"/>
      <c r="H55" s="131"/>
      <c r="I55" s="131"/>
      <c r="J55" s="131"/>
      <c r="K55" s="131"/>
      <c r="L55" s="131"/>
      <c r="M55" s="1082"/>
      <c r="N55" s="1082"/>
      <c r="O55" s="1082"/>
      <c r="P55" s="1083"/>
      <c r="Q55" s="2030"/>
      <c r="R55" s="11"/>
      <c r="S55" s="11"/>
      <c r="T55" s="22"/>
    </row>
    <row r="56" spans="2:20" ht="12.95" customHeight="1" x14ac:dyDescent="0.2">
      <c r="B56" s="170"/>
      <c r="C56" s="131"/>
      <c r="D56" s="131"/>
      <c r="E56" s="131"/>
      <c r="F56" s="131"/>
      <c r="G56" s="131"/>
      <c r="H56" s="131"/>
      <c r="I56" s="131"/>
      <c r="J56" s="131"/>
      <c r="K56" s="131"/>
      <c r="L56" s="131"/>
      <c r="M56" s="2612"/>
      <c r="N56" s="2612"/>
      <c r="O56" s="2612"/>
      <c r="P56" s="2613"/>
      <c r="Q56" s="2030"/>
    </row>
    <row r="57" spans="2:20" ht="12.95" customHeight="1" x14ac:dyDescent="0.2">
      <c r="B57" s="170"/>
      <c r="C57" s="131"/>
      <c r="D57" s="131"/>
      <c r="E57" s="131"/>
      <c r="F57" s="131"/>
      <c r="G57" s="131"/>
      <c r="H57" s="131"/>
      <c r="I57" s="131"/>
      <c r="J57" s="131"/>
      <c r="K57" s="131"/>
      <c r="L57" s="131"/>
      <c r="M57" s="2199" t="str">
        <f>'PEMEL KEND DINAS'!M68:P68</f>
        <v>Bustami, SH</v>
      </c>
      <c r="N57" s="2199"/>
      <c r="O57" s="2199"/>
      <c r="P57" s="2200"/>
      <c r="Q57" s="2021"/>
    </row>
    <row r="58" spans="2:20" ht="12.95" customHeight="1" x14ac:dyDescent="0.2">
      <c r="B58" s="170"/>
      <c r="C58" s="131"/>
      <c r="D58" s="131"/>
      <c r="E58" s="131"/>
      <c r="F58" s="131"/>
      <c r="G58" s="131"/>
      <c r="H58" s="131"/>
      <c r="I58" s="131"/>
      <c r="J58" s="131"/>
      <c r="K58" s="131"/>
      <c r="L58" s="131"/>
      <c r="M58" s="2614" t="str">
        <f>'PEMEL KEND DINAS'!M69:P69</f>
        <v>Pembina Utama Muda / Nip. 19630824 198703 1 004</v>
      </c>
      <c r="N58" s="2614"/>
      <c r="O58" s="2614"/>
      <c r="P58" s="2615"/>
      <c r="Q58" s="2031"/>
    </row>
    <row r="59" spans="2:20" ht="12.95" customHeight="1" x14ac:dyDescent="0.2">
      <c r="B59" s="2501" t="s">
        <v>140</v>
      </c>
      <c r="C59" s="2502"/>
      <c r="D59" s="2502"/>
      <c r="E59" s="2502"/>
      <c r="F59" s="2502"/>
      <c r="G59" s="2502"/>
      <c r="H59" s="2502"/>
      <c r="I59" s="2502"/>
      <c r="J59" s="2502"/>
      <c r="K59" s="2502"/>
      <c r="L59" s="2502"/>
      <c r="M59" s="2513"/>
      <c r="N59" s="2513"/>
      <c r="O59" s="2513"/>
      <c r="P59" s="2514"/>
      <c r="Q59" s="571"/>
    </row>
    <row r="60" spans="2:20" ht="12.95" customHeight="1" x14ac:dyDescent="0.2">
      <c r="B60" s="2501" t="s">
        <v>22</v>
      </c>
      <c r="C60" s="2502"/>
      <c r="D60" s="2502"/>
      <c r="E60" s="2502"/>
      <c r="F60" s="2502"/>
      <c r="G60" s="2502"/>
      <c r="H60" s="2502"/>
      <c r="I60" s="2502"/>
      <c r="J60" s="2502"/>
      <c r="K60" s="2502"/>
      <c r="L60" s="2502"/>
      <c r="M60" s="251"/>
      <c r="N60" s="2508"/>
      <c r="O60" s="2508"/>
      <c r="P60" s="2509"/>
      <c r="Q60" s="1490"/>
    </row>
    <row r="61" spans="2:20" ht="12.95" customHeight="1" x14ac:dyDescent="0.2">
      <c r="B61" s="2501" t="s">
        <v>21</v>
      </c>
      <c r="C61" s="2502"/>
      <c r="D61" s="2502"/>
      <c r="E61" s="2502"/>
      <c r="F61" s="2502"/>
      <c r="G61" s="2502"/>
      <c r="H61" s="2502"/>
      <c r="I61" s="2502"/>
      <c r="J61" s="2502"/>
      <c r="K61" s="2502"/>
      <c r="L61" s="2502"/>
      <c r="M61" s="251"/>
      <c r="N61" s="2503"/>
      <c r="O61" s="2503"/>
      <c r="P61" s="2504"/>
      <c r="Q61" s="2034"/>
    </row>
    <row r="62" spans="2:20" ht="12.95" customHeight="1" x14ac:dyDescent="0.2">
      <c r="B62" s="2501" t="s">
        <v>204</v>
      </c>
      <c r="C62" s="2502"/>
      <c r="D62" s="2502"/>
      <c r="E62" s="2502"/>
      <c r="F62" s="2502"/>
      <c r="G62" s="2502"/>
      <c r="H62" s="2502"/>
      <c r="I62" s="2502"/>
      <c r="J62" s="2502"/>
      <c r="K62" s="2502"/>
      <c r="L62" s="2502"/>
      <c r="M62" s="2502"/>
      <c r="N62" s="2502"/>
      <c r="O62" s="2502"/>
      <c r="P62" s="2505"/>
      <c r="Q62" s="572"/>
    </row>
    <row r="63" spans="2:20" ht="12.95" customHeight="1" x14ac:dyDescent="0.2">
      <c r="B63" s="2501" t="s">
        <v>205</v>
      </c>
      <c r="C63" s="2502"/>
      <c r="D63" s="2502"/>
      <c r="E63" s="2502"/>
      <c r="F63" s="2502"/>
      <c r="G63" s="2502"/>
      <c r="H63" s="2502"/>
      <c r="I63" s="2502"/>
      <c r="J63" s="2502"/>
      <c r="K63" s="2502"/>
      <c r="L63" s="2502"/>
      <c r="M63" s="2502"/>
      <c r="N63" s="2502"/>
      <c r="O63" s="2502"/>
      <c r="P63" s="2505"/>
      <c r="Q63" s="572"/>
    </row>
    <row r="64" spans="2:20" ht="12.95" customHeight="1" thickBot="1" x14ac:dyDescent="0.25">
      <c r="B64" s="2517" t="s">
        <v>206</v>
      </c>
      <c r="C64" s="2518"/>
      <c r="D64" s="2518"/>
      <c r="E64" s="2518"/>
      <c r="F64" s="2518"/>
      <c r="G64" s="2518"/>
      <c r="H64" s="2518"/>
      <c r="I64" s="2518"/>
      <c r="J64" s="2518"/>
      <c r="K64" s="2518"/>
      <c r="L64" s="2518"/>
      <c r="M64" s="2518"/>
      <c r="N64" s="2518"/>
      <c r="O64" s="2518"/>
      <c r="P64" s="2519"/>
      <c r="Q64" s="572"/>
    </row>
    <row r="65" spans="2:17" ht="12.95" customHeight="1" thickTop="1" x14ac:dyDescent="0.2">
      <c r="B65" s="2523" t="s">
        <v>25</v>
      </c>
      <c r="C65" s="2524"/>
      <c r="D65" s="2524"/>
      <c r="E65" s="2524"/>
      <c r="F65" s="2524"/>
      <c r="G65" s="2524"/>
      <c r="H65" s="2524"/>
      <c r="I65" s="2524"/>
      <c r="J65" s="2524"/>
      <c r="K65" s="2524"/>
      <c r="L65" s="2524"/>
      <c r="M65" s="2524"/>
      <c r="N65" s="2524"/>
      <c r="O65" s="2524"/>
      <c r="P65" s="2525"/>
      <c r="Q65" s="2023"/>
    </row>
    <row r="66" spans="2:17" ht="12.95" customHeight="1" thickBot="1" x14ac:dyDescent="0.25">
      <c r="B66" s="2526" t="s">
        <v>207</v>
      </c>
      <c r="C66" s="2527"/>
      <c r="D66" s="2528" t="s">
        <v>208</v>
      </c>
      <c r="E66" s="2529"/>
      <c r="F66" s="2529"/>
      <c r="G66" s="2529"/>
      <c r="H66" s="2529"/>
      <c r="I66" s="2529"/>
      <c r="J66" s="2529"/>
      <c r="K66" s="2529"/>
      <c r="L66" s="2530"/>
      <c r="M66" s="2531" t="s">
        <v>209</v>
      </c>
      <c r="N66" s="2530"/>
      <c r="O66" s="4" t="s">
        <v>210</v>
      </c>
      <c r="P66" s="92" t="s">
        <v>211</v>
      </c>
      <c r="Q66" s="2027"/>
    </row>
    <row r="67" spans="2:17" ht="12.95" customHeight="1" thickTop="1" x14ac:dyDescent="0.2">
      <c r="B67" s="2535">
        <v>1</v>
      </c>
      <c r="C67" s="2536"/>
      <c r="D67" s="2532"/>
      <c r="E67" s="2533"/>
      <c r="F67" s="2533"/>
      <c r="G67" s="2533"/>
      <c r="H67" s="2533"/>
      <c r="I67" s="2533"/>
      <c r="J67" s="2533"/>
      <c r="K67" s="2533"/>
      <c r="L67" s="2534"/>
      <c r="M67" s="2538"/>
      <c r="N67" s="2539"/>
      <c r="O67" s="1073"/>
      <c r="P67" s="1177" t="s">
        <v>10</v>
      </c>
      <c r="Q67" s="1257"/>
    </row>
    <row r="68" spans="2:17" ht="12.95" customHeight="1" x14ac:dyDescent="0.2">
      <c r="B68" s="2522">
        <v>2</v>
      </c>
      <c r="C68" s="2240"/>
      <c r="D68" s="1116"/>
      <c r="E68" s="1117"/>
      <c r="F68" s="1117"/>
      <c r="G68" s="1117"/>
      <c r="H68" s="1117"/>
      <c r="I68" s="1117"/>
      <c r="J68" s="1117"/>
      <c r="K68" s="1117"/>
      <c r="L68" s="1118"/>
      <c r="M68" s="2442"/>
      <c r="N68" s="2247"/>
      <c r="O68" s="1085"/>
      <c r="P68" s="1177" t="s">
        <v>11</v>
      </c>
      <c r="Q68" s="1257"/>
    </row>
    <row r="69" spans="2:17" ht="12.95" customHeight="1" x14ac:dyDescent="0.2">
      <c r="B69" s="2522">
        <v>3</v>
      </c>
      <c r="C69" s="2240"/>
      <c r="D69" s="1116"/>
      <c r="E69" s="1117"/>
      <c r="F69" s="1117"/>
      <c r="G69" s="1117"/>
      <c r="H69" s="1117"/>
      <c r="I69" s="1117"/>
      <c r="J69" s="1117"/>
      <c r="K69" s="1117"/>
      <c r="L69" s="1118"/>
      <c r="M69" s="2442"/>
      <c r="N69" s="2247"/>
      <c r="O69" s="1085"/>
      <c r="P69" s="1177" t="s">
        <v>12</v>
      </c>
      <c r="Q69" s="1257"/>
    </row>
    <row r="70" spans="2:17" ht="12.95" customHeight="1" x14ac:dyDescent="0.2">
      <c r="B70" s="2522">
        <v>4</v>
      </c>
      <c r="C70" s="2240"/>
      <c r="D70" s="1116"/>
      <c r="E70" s="1117"/>
      <c r="F70" s="1117"/>
      <c r="G70" s="1117"/>
      <c r="H70" s="1117"/>
      <c r="I70" s="1117"/>
      <c r="J70" s="1117"/>
      <c r="K70" s="1117"/>
      <c r="L70" s="1118"/>
      <c r="M70" s="2443"/>
      <c r="N70" s="2253"/>
      <c r="O70" s="1085"/>
      <c r="P70" s="1177" t="s">
        <v>13</v>
      </c>
      <c r="Q70" s="1257"/>
    </row>
    <row r="71" spans="2:17" ht="12.95" customHeight="1" x14ac:dyDescent="0.2">
      <c r="B71" s="2522">
        <v>5</v>
      </c>
      <c r="C71" s="2240"/>
      <c r="D71" s="1116"/>
      <c r="E71" s="1117"/>
      <c r="F71" s="1117"/>
      <c r="G71" s="1117"/>
      <c r="H71" s="1117"/>
      <c r="I71" s="1117"/>
      <c r="J71" s="1117"/>
      <c r="K71" s="1117"/>
      <c r="L71" s="1118"/>
      <c r="M71" s="2443"/>
      <c r="N71" s="2253"/>
      <c r="O71" s="1085"/>
      <c r="P71" s="1177" t="s">
        <v>14</v>
      </c>
      <c r="Q71" s="1257"/>
    </row>
    <row r="72" spans="2:17" ht="12.95" customHeight="1" x14ac:dyDescent="0.2">
      <c r="B72" s="2522">
        <v>6</v>
      </c>
      <c r="C72" s="2240"/>
      <c r="D72" s="1116"/>
      <c r="E72" s="1117"/>
      <c r="F72" s="1117"/>
      <c r="G72" s="1117"/>
      <c r="H72" s="1117"/>
      <c r="I72" s="1117"/>
      <c r="J72" s="1117"/>
      <c r="K72" s="1117"/>
      <c r="L72" s="1118"/>
      <c r="M72" s="2443"/>
      <c r="N72" s="2253"/>
      <c r="O72" s="1085"/>
      <c r="P72" s="1178" t="s">
        <v>42</v>
      </c>
      <c r="Q72" s="2052"/>
    </row>
    <row r="73" spans="2:17" ht="12.95" customHeight="1" thickBot="1" x14ac:dyDescent="0.25">
      <c r="B73" s="2520">
        <v>7</v>
      </c>
      <c r="C73" s="2521"/>
      <c r="D73" s="1119"/>
      <c r="E73" s="1120"/>
      <c r="F73" s="1120"/>
      <c r="G73" s="1120"/>
      <c r="H73" s="1120"/>
      <c r="I73" s="1120"/>
      <c r="J73" s="1120"/>
      <c r="K73" s="1120"/>
      <c r="L73" s="1121"/>
      <c r="M73" s="2537"/>
      <c r="N73" s="2300"/>
      <c r="O73" s="1061"/>
      <c r="P73" s="1179" t="s">
        <v>487</v>
      </c>
      <c r="Q73" s="2053"/>
    </row>
    <row r="74" spans="2:17" ht="13.5" thickTop="1" x14ac:dyDescent="0.2"/>
  </sheetData>
  <mergeCells count="82">
    <mergeCell ref="B7:K7"/>
    <mergeCell ref="F2:O2"/>
    <mergeCell ref="P2:P3"/>
    <mergeCell ref="F3:O3"/>
    <mergeCell ref="B4:O4"/>
    <mergeCell ref="P4:P5"/>
    <mergeCell ref="B5:O5"/>
    <mergeCell ref="M7:P7"/>
    <mergeCell ref="B6:K6"/>
    <mergeCell ref="M6:P6"/>
    <mergeCell ref="B8:K8"/>
    <mergeCell ref="B9:K9"/>
    <mergeCell ref="B11:K11"/>
    <mergeCell ref="L11:P11"/>
    <mergeCell ref="B12:K12"/>
    <mergeCell ref="B13:K13"/>
    <mergeCell ref="B14:K14"/>
    <mergeCell ref="B15:P15"/>
    <mergeCell ref="B16:K16"/>
    <mergeCell ref="L16:N16"/>
    <mergeCell ref="O16:P16"/>
    <mergeCell ref="B17:K17"/>
    <mergeCell ref="L17:N17"/>
    <mergeCell ref="O17:P17"/>
    <mergeCell ref="B18:K18"/>
    <mergeCell ref="L18:N18"/>
    <mergeCell ref="O18:P18"/>
    <mergeCell ref="B19:K19"/>
    <mergeCell ref="L19:N19"/>
    <mergeCell ref="O19:P19"/>
    <mergeCell ref="B20:K20"/>
    <mergeCell ref="L20:N20"/>
    <mergeCell ref="O20:P20"/>
    <mergeCell ref="B28:K28"/>
    <mergeCell ref="B29:K29"/>
    <mergeCell ref="B22:P22"/>
    <mergeCell ref="B23:P23"/>
    <mergeCell ref="B24:P24"/>
    <mergeCell ref="B25:K25"/>
    <mergeCell ref="L25:L28"/>
    <mergeCell ref="M25:O25"/>
    <mergeCell ref="B26:K26"/>
    <mergeCell ref="M26:M28"/>
    <mergeCell ref="N26:N28"/>
    <mergeCell ref="O26:O28"/>
    <mergeCell ref="B27:K27"/>
    <mergeCell ref="B59:L59"/>
    <mergeCell ref="M57:P57"/>
    <mergeCell ref="B60:L60"/>
    <mergeCell ref="N60:P60"/>
    <mergeCell ref="M52:P52"/>
    <mergeCell ref="M53:P53"/>
    <mergeCell ref="M54:P54"/>
    <mergeCell ref="M56:P56"/>
    <mergeCell ref="M58:P58"/>
    <mergeCell ref="B73:C73"/>
    <mergeCell ref="M73:N73"/>
    <mergeCell ref="B68:C68"/>
    <mergeCell ref="M68:N68"/>
    <mergeCell ref="B69:C69"/>
    <mergeCell ref="B72:C72"/>
    <mergeCell ref="M70:N70"/>
    <mergeCell ref="B70:C70"/>
    <mergeCell ref="B71:C71"/>
    <mergeCell ref="M71:N71"/>
    <mergeCell ref="M72:N72"/>
    <mergeCell ref="B21:P21"/>
    <mergeCell ref="M50:O50"/>
    <mergeCell ref="M67:N67"/>
    <mergeCell ref="D67:L67"/>
    <mergeCell ref="M69:N69"/>
    <mergeCell ref="B67:C67"/>
    <mergeCell ref="B61:L61"/>
    <mergeCell ref="N61:P61"/>
    <mergeCell ref="B66:C66"/>
    <mergeCell ref="D66:L66"/>
    <mergeCell ref="M66:N66"/>
    <mergeCell ref="B62:P62"/>
    <mergeCell ref="B63:P63"/>
    <mergeCell ref="B64:P64"/>
    <mergeCell ref="B65:P65"/>
    <mergeCell ref="M59:P59"/>
  </mergeCells>
  <phoneticPr fontId="14" type="noConversion"/>
  <pageMargins left="0.72" right="0.23622047244094491" top="0.4" bottom="0.78740157480314965" header="0.35433070866141736" footer="0.51181102362204722"/>
  <pageSetup paperSize="5" scale="75" orientation="portrait" horizontalDpi="4294967294" verticalDpi="4294967293"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AC66"/>
  <sheetViews>
    <sheetView view="pageBreakPreview" topLeftCell="H16" zoomScale="70" zoomScaleNormal="110" zoomScaleSheetLayoutView="70" workbookViewId="0">
      <selection activeCell="O40" sqref="O40"/>
    </sheetView>
  </sheetViews>
  <sheetFormatPr defaultColWidth="8.7109375" defaultRowHeight="12.75" x14ac:dyDescent="0.2"/>
  <cols>
    <col min="1" max="1" width="5.140625" style="715" customWidth="1"/>
    <col min="2" max="11" width="2.7109375" style="715" customWidth="1"/>
    <col min="12" max="12" width="47.5703125" style="715" customWidth="1"/>
    <col min="13" max="13" width="12.140625" style="715" customWidth="1"/>
    <col min="14" max="14" width="8.5703125" style="715" customWidth="1"/>
    <col min="15" max="15" width="13.5703125" style="715" customWidth="1"/>
    <col min="16" max="17" width="16.5703125" style="715" customWidth="1"/>
    <col min="18" max="18" width="12.85546875" style="715" customWidth="1"/>
    <col min="19" max="19" width="14" style="715" customWidth="1"/>
    <col min="20" max="20" width="13" style="715" customWidth="1"/>
    <col min="21" max="21" width="16.5703125" style="715" customWidth="1"/>
    <col min="22" max="24" width="8.7109375" style="715"/>
    <col min="25" max="25" width="12.28515625" style="715" bestFit="1" customWidth="1"/>
    <col min="26" max="16384" width="8.7109375" style="715"/>
  </cols>
  <sheetData>
    <row r="1" spans="2:17" ht="13.5" thickBot="1" x14ac:dyDescent="0.25"/>
    <row r="2" spans="2:17" ht="18.95" customHeight="1" thickTop="1" x14ac:dyDescent="0.2">
      <c r="B2" s="72"/>
      <c r="C2" s="73"/>
      <c r="D2" s="73"/>
      <c r="E2" s="73"/>
      <c r="F2" s="2174" t="s">
        <v>182</v>
      </c>
      <c r="G2" s="2174"/>
      <c r="H2" s="2174"/>
      <c r="I2" s="2174"/>
      <c r="J2" s="2174"/>
      <c r="K2" s="2174"/>
      <c r="L2" s="2174"/>
      <c r="M2" s="2174"/>
      <c r="N2" s="2174"/>
      <c r="O2" s="2175"/>
      <c r="P2" s="2178" t="s">
        <v>67</v>
      </c>
      <c r="Q2" s="2024"/>
    </row>
    <row r="3" spans="2:17"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453</v>
      </c>
      <c r="C6" s="2463"/>
      <c r="D6" s="2463"/>
      <c r="E6" s="2463"/>
      <c r="F6" s="2463"/>
      <c r="G6" s="2463"/>
      <c r="H6" s="2463"/>
      <c r="I6" s="2463"/>
      <c r="J6" s="2463"/>
      <c r="K6" s="2463"/>
      <c r="L6" s="1068" t="s">
        <v>442</v>
      </c>
      <c r="M6" s="2213" t="s">
        <v>437</v>
      </c>
      <c r="N6" s="2213"/>
      <c r="O6" s="2213"/>
      <c r="P6" s="2214"/>
      <c r="Q6" s="296"/>
    </row>
    <row r="7" spans="2:17" ht="12.95" customHeight="1" x14ac:dyDescent="0.2">
      <c r="B7" s="2471" t="s">
        <v>19</v>
      </c>
      <c r="C7" s="2355"/>
      <c r="D7" s="2355"/>
      <c r="E7" s="2355"/>
      <c r="F7" s="2355"/>
      <c r="G7" s="2355"/>
      <c r="H7" s="2355"/>
      <c r="I7" s="2355"/>
      <c r="J7" s="2355"/>
      <c r="K7" s="2355"/>
      <c r="L7" s="1066" t="s">
        <v>441</v>
      </c>
      <c r="M7" s="2541" t="s">
        <v>466</v>
      </c>
      <c r="N7" s="2541"/>
      <c r="O7" s="2541"/>
      <c r="P7" s="2542"/>
      <c r="Q7" s="512"/>
    </row>
    <row r="8" spans="2:17" ht="12.95" customHeight="1" x14ac:dyDescent="0.2">
      <c r="B8" s="2471" t="s">
        <v>32</v>
      </c>
      <c r="C8" s="2355"/>
      <c r="D8" s="2355"/>
      <c r="E8" s="2355"/>
      <c r="F8" s="2355"/>
      <c r="G8" s="2355"/>
      <c r="H8" s="2355"/>
      <c r="I8" s="2355"/>
      <c r="J8" s="2355"/>
      <c r="K8" s="2355"/>
      <c r="L8" s="1066" t="s">
        <v>457</v>
      </c>
      <c r="M8" s="2575" t="s">
        <v>4</v>
      </c>
      <c r="N8" s="2575"/>
      <c r="O8" s="2575"/>
      <c r="P8" s="2576"/>
      <c r="Q8" s="2036"/>
    </row>
    <row r="9" spans="2:17" ht="12.95" customHeight="1" x14ac:dyDescent="0.2">
      <c r="B9" s="2571" t="s">
        <v>20</v>
      </c>
      <c r="C9" s="2548"/>
      <c r="D9" s="2548"/>
      <c r="E9" s="2548"/>
      <c r="F9" s="2548"/>
      <c r="G9" s="2548"/>
      <c r="H9" s="2548"/>
      <c r="I9" s="2548"/>
      <c r="J9" s="2548"/>
      <c r="K9" s="2548"/>
      <c r="L9" s="34" t="s">
        <v>458</v>
      </c>
      <c r="M9" s="2575" t="s">
        <v>913</v>
      </c>
      <c r="N9" s="2575"/>
      <c r="O9" s="2575"/>
      <c r="P9" s="2576"/>
      <c r="Q9" s="2036"/>
    </row>
    <row r="10" spans="2:17" ht="12.95" customHeight="1" x14ac:dyDescent="0.2">
      <c r="B10" s="1069"/>
      <c r="C10" s="1070"/>
      <c r="D10" s="1070"/>
      <c r="E10" s="1070"/>
      <c r="F10" s="1070"/>
      <c r="G10" s="1070"/>
      <c r="H10" s="1070"/>
      <c r="I10" s="1070"/>
      <c r="J10" s="1070"/>
      <c r="K10" s="1070"/>
      <c r="L10" s="1066"/>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12400000</v>
      </c>
      <c r="M12" s="35"/>
      <c r="N12" s="35"/>
      <c r="O12" s="35"/>
      <c r="P12" s="77"/>
      <c r="Q12" s="2045"/>
    </row>
    <row r="13" spans="2:17" ht="12.95" customHeight="1" x14ac:dyDescent="0.2">
      <c r="B13" s="2471" t="s">
        <v>223</v>
      </c>
      <c r="C13" s="2355"/>
      <c r="D13" s="2355"/>
      <c r="E13" s="2355"/>
      <c r="F13" s="2355"/>
      <c r="G13" s="2355"/>
      <c r="H13" s="2355"/>
      <c r="I13" s="2355"/>
      <c r="J13" s="2355"/>
      <c r="K13" s="2355"/>
      <c r="L13" s="152">
        <f>P30</f>
        <v>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0</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289"/>
      <c r="L16" s="2289" t="s">
        <v>226</v>
      </c>
      <c r="M16" s="2289"/>
      <c r="N16" s="2480"/>
      <c r="O16" s="2481" t="s">
        <v>227</v>
      </c>
      <c r="P16" s="2482"/>
      <c r="Q16" s="520"/>
    </row>
    <row r="17" spans="2:20" ht="12.95" customHeight="1" x14ac:dyDescent="0.2">
      <c r="B17" s="2454" t="s">
        <v>37</v>
      </c>
      <c r="C17" s="2286"/>
      <c r="D17" s="2286"/>
      <c r="E17" s="2286"/>
      <c r="F17" s="2286"/>
      <c r="G17" s="2286"/>
      <c r="H17" s="2286"/>
      <c r="I17" s="2286"/>
      <c r="J17" s="2286"/>
      <c r="K17" s="2286"/>
      <c r="L17" s="2228" t="s">
        <v>717</v>
      </c>
      <c r="M17" s="2228"/>
      <c r="N17" s="2577"/>
      <c r="O17" s="2474">
        <v>1</v>
      </c>
      <c r="P17" s="2229"/>
      <c r="Q17" s="2028"/>
    </row>
    <row r="18" spans="2:20" ht="12.95" customHeight="1" x14ac:dyDescent="0.2">
      <c r="B18" s="2454" t="s">
        <v>228</v>
      </c>
      <c r="C18" s="2286"/>
      <c r="D18" s="2286"/>
      <c r="E18" s="2286"/>
      <c r="F18" s="2286"/>
      <c r="G18" s="2286"/>
      <c r="H18" s="2286"/>
      <c r="I18" s="2286"/>
      <c r="J18" s="2286"/>
      <c r="K18" s="2286"/>
      <c r="L18" s="2228" t="s">
        <v>287</v>
      </c>
      <c r="M18" s="2228"/>
      <c r="N18" s="2577"/>
      <c r="O18" s="2459">
        <f>P30</f>
        <v>0</v>
      </c>
      <c r="P18" s="2460"/>
      <c r="Q18" s="2028"/>
    </row>
    <row r="19" spans="2:20" ht="12.95" customHeight="1" x14ac:dyDescent="0.2">
      <c r="B19" s="2454" t="s">
        <v>229</v>
      </c>
      <c r="C19" s="2286"/>
      <c r="D19" s="2286"/>
      <c r="E19" s="2286"/>
      <c r="F19" s="2286"/>
      <c r="G19" s="2286"/>
      <c r="H19" s="2286"/>
      <c r="I19" s="2286"/>
      <c r="J19" s="2286"/>
      <c r="K19" s="2286"/>
      <c r="L19" s="2228" t="s">
        <v>689</v>
      </c>
      <c r="M19" s="2228"/>
      <c r="N19" s="2577"/>
      <c r="O19" s="2461" t="s">
        <v>1243</v>
      </c>
      <c r="P19" s="2460"/>
      <c r="Q19" s="2028"/>
    </row>
    <row r="20" spans="2:20" ht="12.95" customHeight="1" x14ac:dyDescent="0.2">
      <c r="B20" s="2454" t="s">
        <v>230</v>
      </c>
      <c r="C20" s="2286"/>
      <c r="D20" s="2286"/>
      <c r="E20" s="2286"/>
      <c r="F20" s="2286"/>
      <c r="G20" s="2286"/>
      <c r="H20" s="2286"/>
      <c r="I20" s="2286"/>
      <c r="J20" s="2286"/>
      <c r="K20" s="2286"/>
      <c r="L20" s="2228" t="s">
        <v>729</v>
      </c>
      <c r="M20" s="2228"/>
      <c r="N20" s="2577"/>
      <c r="O20" s="2474">
        <v>1</v>
      </c>
      <c r="P20" s="2229"/>
      <c r="Q20" s="2028"/>
    </row>
    <row r="21" spans="2:20" ht="6.95" customHeight="1" x14ac:dyDescent="0.2">
      <c r="B21" s="2445"/>
      <c r="C21" s="2446"/>
      <c r="D21" s="2446"/>
      <c r="E21" s="2446"/>
      <c r="F21" s="2446"/>
      <c r="G21" s="2446"/>
      <c r="H21" s="2446"/>
      <c r="I21" s="2446"/>
      <c r="J21" s="2446"/>
      <c r="K21" s="2446"/>
      <c r="L21" s="2446"/>
      <c r="M21" s="2446"/>
      <c r="N21" s="2446"/>
      <c r="O21" s="2446"/>
      <c r="P21" s="2447"/>
      <c r="Q21" s="2046"/>
    </row>
    <row r="22" spans="2:20" ht="12.95" customHeight="1" x14ac:dyDescent="0.2">
      <c r="B22" s="2215" t="s">
        <v>833</v>
      </c>
      <c r="C22" s="2216"/>
      <c r="D22" s="2216"/>
      <c r="E22" s="2216"/>
      <c r="F22" s="2216"/>
      <c r="G22" s="2216"/>
      <c r="H22" s="2216"/>
      <c r="I22" s="2216"/>
      <c r="J22" s="2216"/>
      <c r="K22" s="2216"/>
      <c r="L22" s="2216"/>
      <c r="M22" s="2216"/>
      <c r="N22" s="2216"/>
      <c r="O22" s="2216"/>
      <c r="P22" s="2486"/>
      <c r="Q22" s="2022"/>
    </row>
    <row r="23" spans="2:20" ht="12.95" customHeight="1" x14ac:dyDescent="0.2">
      <c r="B23" s="2487" t="s">
        <v>231</v>
      </c>
      <c r="C23" s="2488"/>
      <c r="D23" s="2488"/>
      <c r="E23" s="2488"/>
      <c r="F23" s="2488"/>
      <c r="G23" s="2488"/>
      <c r="H23" s="2488"/>
      <c r="I23" s="2488"/>
      <c r="J23" s="2488"/>
      <c r="K23" s="2488"/>
      <c r="L23" s="2488"/>
      <c r="M23" s="2488"/>
      <c r="N23" s="2488"/>
      <c r="O23" s="2488"/>
      <c r="P23" s="2489"/>
      <c r="Q23" s="520"/>
    </row>
    <row r="24" spans="2:20" ht="12.95" customHeight="1" x14ac:dyDescent="0.2">
      <c r="B24" s="2490" t="s">
        <v>38</v>
      </c>
      <c r="C24" s="2491"/>
      <c r="D24" s="2491"/>
      <c r="E24" s="2491"/>
      <c r="F24" s="2491"/>
      <c r="G24" s="2491"/>
      <c r="H24" s="2491"/>
      <c r="I24" s="2491"/>
      <c r="J24" s="2491"/>
      <c r="K24" s="2491"/>
      <c r="L24" s="2491"/>
      <c r="M24" s="2491"/>
      <c r="N24" s="2491"/>
      <c r="O24" s="2491"/>
      <c r="P24" s="2492"/>
      <c r="Q24" s="520"/>
    </row>
    <row r="25" spans="2:20" ht="12.95" customHeight="1" x14ac:dyDescent="0.2">
      <c r="B25" s="2493"/>
      <c r="C25" s="2264"/>
      <c r="D25" s="2264"/>
      <c r="E25" s="2264"/>
      <c r="F25" s="2264"/>
      <c r="G25" s="2264"/>
      <c r="H25" s="2264"/>
      <c r="I25" s="2264"/>
      <c r="J25" s="2264"/>
      <c r="K25" s="2264"/>
      <c r="L25" s="2603" t="s">
        <v>191</v>
      </c>
      <c r="M25" s="2498" t="s">
        <v>198</v>
      </c>
      <c r="N25" s="2499"/>
      <c r="O25" s="2500"/>
      <c r="P25" s="718"/>
      <c r="Q25" s="730"/>
    </row>
    <row r="26" spans="2:20" ht="12.95" customHeight="1" x14ac:dyDescent="0.2">
      <c r="B26" s="2448" t="s">
        <v>189</v>
      </c>
      <c r="C26" s="2449"/>
      <c r="D26" s="2449"/>
      <c r="E26" s="2449"/>
      <c r="F26" s="2449"/>
      <c r="G26" s="2449"/>
      <c r="H26" s="2449"/>
      <c r="I26" s="2449"/>
      <c r="J26" s="2449"/>
      <c r="K26" s="2449"/>
      <c r="L26" s="2405"/>
      <c r="M26" s="2399" t="s">
        <v>200</v>
      </c>
      <c r="N26" s="2399" t="s">
        <v>26</v>
      </c>
      <c r="O26" s="2311" t="s">
        <v>217</v>
      </c>
      <c r="P26" s="78" t="s">
        <v>192</v>
      </c>
      <c r="Q26" s="2027"/>
    </row>
    <row r="27" spans="2:20" ht="12.95" customHeight="1" x14ac:dyDescent="0.2">
      <c r="B27" s="2448" t="s">
        <v>197</v>
      </c>
      <c r="C27" s="2449"/>
      <c r="D27" s="2449"/>
      <c r="E27" s="2449"/>
      <c r="F27" s="2449"/>
      <c r="G27" s="2449"/>
      <c r="H27" s="2449"/>
      <c r="I27" s="2449"/>
      <c r="J27" s="2449"/>
      <c r="K27" s="2449"/>
      <c r="L27" s="2405"/>
      <c r="M27" s="2496"/>
      <c r="N27" s="2496"/>
      <c r="O27" s="2405"/>
      <c r="P27" s="78" t="s">
        <v>193</v>
      </c>
      <c r="Q27" s="2027"/>
    </row>
    <row r="28" spans="2:20" ht="12.95" customHeight="1" x14ac:dyDescent="0.2">
      <c r="B28" s="2451"/>
      <c r="C28" s="2452"/>
      <c r="D28" s="2452"/>
      <c r="E28" s="2452"/>
      <c r="F28" s="2452"/>
      <c r="G28" s="2452"/>
      <c r="H28" s="2452"/>
      <c r="I28" s="2452"/>
      <c r="J28" s="2452"/>
      <c r="K28" s="2452"/>
      <c r="L28" s="2406"/>
      <c r="M28" s="2497"/>
      <c r="N28" s="2497"/>
      <c r="O28" s="2406"/>
      <c r="P28" s="719"/>
      <c r="Q28" s="2047"/>
    </row>
    <row r="29" spans="2:20" ht="12.95" customHeight="1" thickBot="1" x14ac:dyDescent="0.25">
      <c r="B29" s="2483">
        <v>1</v>
      </c>
      <c r="C29" s="2484"/>
      <c r="D29" s="2484"/>
      <c r="E29" s="2484"/>
      <c r="F29" s="2484"/>
      <c r="G29" s="2484"/>
      <c r="H29" s="2484"/>
      <c r="I29" s="2484"/>
      <c r="J29" s="2484"/>
      <c r="K29" s="2484"/>
      <c r="L29" s="1077">
        <v>2</v>
      </c>
      <c r="M29" s="1077">
        <v>3</v>
      </c>
      <c r="N29" s="1077">
        <v>4</v>
      </c>
      <c r="O29" s="12">
        <v>5</v>
      </c>
      <c r="P29" s="79" t="s">
        <v>24</v>
      </c>
      <c r="Q29" s="2027"/>
    </row>
    <row r="30" spans="2:20" ht="12.95" customHeight="1" thickTop="1" x14ac:dyDescent="0.2">
      <c r="B30" s="80">
        <v>1</v>
      </c>
      <c r="C30" s="33" t="s">
        <v>440</v>
      </c>
      <c r="D30" s="33" t="s">
        <v>142</v>
      </c>
      <c r="E30" s="1080"/>
      <c r="F30" s="335"/>
      <c r="G30" s="1079">
        <v>5</v>
      </c>
      <c r="H30" s="1079">
        <v>2</v>
      </c>
      <c r="I30" s="1079"/>
      <c r="J30" s="1079"/>
      <c r="K30" s="1079"/>
      <c r="L30" s="28" t="s">
        <v>108</v>
      </c>
      <c r="M30" s="16"/>
      <c r="N30" s="16"/>
      <c r="O30" s="18"/>
      <c r="P30" s="81">
        <f>P32</f>
        <v>0</v>
      </c>
      <c r="Q30" s="2065">
        <v>30800000</v>
      </c>
      <c r="R30" s="720">
        <f>L12</f>
        <v>12400000</v>
      </c>
    </row>
    <row r="31" spans="2:20" ht="12.95" customHeight="1" x14ac:dyDescent="0.2">
      <c r="B31" s="80">
        <v>1</v>
      </c>
      <c r="C31" s="33" t="s">
        <v>440</v>
      </c>
      <c r="D31" s="33" t="s">
        <v>142</v>
      </c>
      <c r="E31" s="1078" t="s">
        <v>164</v>
      </c>
      <c r="F31" s="46"/>
      <c r="G31" s="1079"/>
      <c r="H31" s="1079"/>
      <c r="I31" s="1079"/>
      <c r="J31" s="1079"/>
      <c r="K31" s="1079"/>
      <c r="L31" s="25" t="s">
        <v>5</v>
      </c>
      <c r="M31" s="1413"/>
      <c r="N31" s="16"/>
      <c r="O31" s="18"/>
      <c r="P31" s="82">
        <f>P32</f>
        <v>0</v>
      </c>
      <c r="Q31" s="2066"/>
      <c r="R31" s="1185">
        <f>P32-R30</f>
        <v>-12400000</v>
      </c>
    </row>
    <row r="32" spans="2:20" ht="12.95" customHeight="1" x14ac:dyDescent="0.2">
      <c r="B32" s="80">
        <v>1</v>
      </c>
      <c r="C32" s="33" t="s">
        <v>440</v>
      </c>
      <c r="D32" s="33" t="s">
        <v>142</v>
      </c>
      <c r="E32" s="1078" t="s">
        <v>164</v>
      </c>
      <c r="F32" s="47" t="s">
        <v>145</v>
      </c>
      <c r="G32" s="1079"/>
      <c r="H32" s="1079"/>
      <c r="I32" s="1079"/>
      <c r="J32" s="1079"/>
      <c r="K32" s="1079"/>
      <c r="L32" s="25" t="s">
        <v>6</v>
      </c>
      <c r="M32" s="1413"/>
      <c r="N32" s="16"/>
      <c r="O32" s="18"/>
      <c r="P32" s="82">
        <f>P35</f>
        <v>0</v>
      </c>
      <c r="Q32" s="2066"/>
      <c r="S32" s="908"/>
      <c r="T32" s="925"/>
    </row>
    <row r="33" spans="2:29" ht="12.95" customHeight="1" x14ac:dyDescent="0.2">
      <c r="B33" s="80"/>
      <c r="C33" s="33"/>
      <c r="D33" s="33"/>
      <c r="E33" s="1078"/>
      <c r="F33" s="47"/>
      <c r="G33" s="1079"/>
      <c r="H33" s="1079"/>
      <c r="I33" s="1079"/>
      <c r="J33" s="1079"/>
      <c r="K33" s="1079"/>
      <c r="L33" s="25" t="s">
        <v>280</v>
      </c>
      <c r="M33" s="1413"/>
      <c r="N33" s="16"/>
      <c r="O33" s="18"/>
      <c r="P33" s="82"/>
      <c r="Q33" s="2066"/>
      <c r="S33" s="725"/>
    </row>
    <row r="34" spans="2:29" ht="12.95" customHeight="1" x14ac:dyDescent="0.2">
      <c r="B34" s="80"/>
      <c r="C34" s="33"/>
      <c r="D34" s="33"/>
      <c r="E34" s="1078"/>
      <c r="F34" s="47"/>
      <c r="G34" s="1079"/>
      <c r="H34" s="1079"/>
      <c r="I34" s="1079"/>
      <c r="J34" s="1079"/>
      <c r="K34" s="1079"/>
      <c r="L34" s="25"/>
      <c r="M34" s="1413"/>
      <c r="N34" s="16"/>
      <c r="O34" s="18"/>
      <c r="P34" s="83"/>
      <c r="Q34" s="2069"/>
    </row>
    <row r="35" spans="2:29" ht="12.95" customHeight="1" x14ac:dyDescent="0.2">
      <c r="B35" s="80">
        <v>1</v>
      </c>
      <c r="C35" s="33" t="s">
        <v>440</v>
      </c>
      <c r="D35" s="33" t="s">
        <v>142</v>
      </c>
      <c r="E35" s="1078" t="s">
        <v>164</v>
      </c>
      <c r="F35" s="47" t="s">
        <v>145</v>
      </c>
      <c r="G35" s="1079">
        <v>5</v>
      </c>
      <c r="H35" s="1079">
        <v>2</v>
      </c>
      <c r="I35" s="1079">
        <v>2</v>
      </c>
      <c r="J35" s="1079"/>
      <c r="K35" s="1079"/>
      <c r="L35" s="56" t="s">
        <v>120</v>
      </c>
      <c r="M35" s="1414"/>
      <c r="N35" s="185"/>
      <c r="O35" s="262"/>
      <c r="P35" s="82">
        <f>P36</f>
        <v>0</v>
      </c>
      <c r="Q35" s="2066"/>
    </row>
    <row r="36" spans="2:29" ht="12.95" customHeight="1" x14ac:dyDescent="0.2">
      <c r="B36" s="80">
        <v>1</v>
      </c>
      <c r="C36" s="33" t="s">
        <v>440</v>
      </c>
      <c r="D36" s="33" t="s">
        <v>142</v>
      </c>
      <c r="E36" s="1078" t="s">
        <v>164</v>
      </c>
      <c r="F36" s="47" t="s">
        <v>145</v>
      </c>
      <c r="G36" s="1079">
        <v>5</v>
      </c>
      <c r="H36" s="1079">
        <v>2</v>
      </c>
      <c r="I36" s="1079">
        <v>2</v>
      </c>
      <c r="J36" s="1079">
        <v>12</v>
      </c>
      <c r="K36" s="33"/>
      <c r="L36" s="25" t="s">
        <v>281</v>
      </c>
      <c r="M36" s="1414"/>
      <c r="N36" s="185"/>
      <c r="O36" s="262"/>
      <c r="P36" s="82">
        <f>P37-P41</f>
        <v>0</v>
      </c>
      <c r="Q36" s="2066"/>
    </row>
    <row r="37" spans="2:29" ht="12.95" customHeight="1" x14ac:dyDescent="0.2">
      <c r="B37" s="80">
        <v>1</v>
      </c>
      <c r="C37" s="33" t="s">
        <v>440</v>
      </c>
      <c r="D37" s="33" t="s">
        <v>142</v>
      </c>
      <c r="E37" s="1078" t="s">
        <v>164</v>
      </c>
      <c r="F37" s="47" t="s">
        <v>145</v>
      </c>
      <c r="G37" s="1079">
        <v>5</v>
      </c>
      <c r="H37" s="1079">
        <v>2</v>
      </c>
      <c r="I37" s="1079">
        <v>2</v>
      </c>
      <c r="J37" s="1079">
        <v>12</v>
      </c>
      <c r="K37" s="33" t="s">
        <v>181</v>
      </c>
      <c r="L37" s="23" t="s">
        <v>484</v>
      </c>
      <c r="M37" s="1414"/>
      <c r="N37" s="185"/>
      <c r="O37" s="262"/>
      <c r="P37" s="151">
        <f>SUM(P38:P39)</f>
        <v>0</v>
      </c>
      <c r="Q37" s="2067"/>
      <c r="R37" s="925"/>
      <c r="T37" s="1072"/>
      <c r="X37" s="730"/>
    </row>
    <row r="38" spans="2:29" ht="12.95" customHeight="1" x14ac:dyDescent="0.2">
      <c r="B38" s="80"/>
      <c r="C38" s="1079"/>
      <c r="D38" s="1079"/>
      <c r="E38" s="1080"/>
      <c r="F38" s="46"/>
      <c r="G38" s="1079"/>
      <c r="H38" s="1079"/>
      <c r="I38" s="1079"/>
      <c r="J38" s="1079"/>
      <c r="K38" s="1079"/>
      <c r="L38" s="38" t="s">
        <v>485</v>
      </c>
      <c r="M38" s="1564">
        <v>35</v>
      </c>
      <c r="N38" s="1575" t="s">
        <v>832</v>
      </c>
      <c r="O38" s="1576">
        <v>0</v>
      </c>
      <c r="P38" s="1577">
        <f>O38*M38</f>
        <v>0</v>
      </c>
      <c r="Q38" s="2108"/>
      <c r="R38" s="1164"/>
      <c r="S38" s="1164"/>
      <c r="T38" s="1204"/>
      <c r="X38" s="730"/>
    </row>
    <row r="39" spans="2:29" ht="12.95" customHeight="1" x14ac:dyDescent="0.2">
      <c r="B39" s="84"/>
      <c r="C39" s="1079"/>
      <c r="D39" s="1079"/>
      <c r="E39" s="1080"/>
      <c r="F39" s="54"/>
      <c r="G39" s="1079"/>
      <c r="H39" s="1079"/>
      <c r="I39" s="1079"/>
      <c r="J39" s="1079"/>
      <c r="K39" s="1079"/>
      <c r="L39" s="38" t="s">
        <v>1054</v>
      </c>
      <c r="M39" s="1564">
        <v>21</v>
      </c>
      <c r="N39" s="1575" t="s">
        <v>832</v>
      </c>
      <c r="O39" s="1576">
        <v>0</v>
      </c>
      <c r="P39" s="1577">
        <f>O39*M39</f>
        <v>0</v>
      </c>
      <c r="Q39" s="2108"/>
      <c r="R39" s="1164"/>
      <c r="S39" s="1164"/>
      <c r="T39" s="1204"/>
      <c r="X39" s="730"/>
    </row>
    <row r="40" spans="2:29" ht="12.95" customHeight="1" x14ac:dyDescent="0.2">
      <c r="B40" s="84"/>
      <c r="C40" s="1079"/>
      <c r="D40" s="1079"/>
      <c r="E40" s="1080"/>
      <c r="F40" s="54"/>
      <c r="G40" s="1079"/>
      <c r="H40" s="1079"/>
      <c r="I40" s="1079"/>
      <c r="J40" s="1079"/>
      <c r="K40" s="1079"/>
      <c r="L40" s="38"/>
      <c r="M40" s="1564"/>
      <c r="N40" s="1575"/>
      <c r="O40" s="1576"/>
      <c r="P40" s="1577"/>
      <c r="Q40" s="2108"/>
      <c r="R40" s="1164"/>
      <c r="S40" s="1164"/>
      <c r="T40" s="1204"/>
      <c r="X40" s="730"/>
    </row>
    <row r="41" spans="2:29" ht="12.95" customHeight="1" thickBot="1" x14ac:dyDescent="0.25">
      <c r="B41" s="84"/>
      <c r="C41" s="1079"/>
      <c r="D41" s="1079"/>
      <c r="E41" s="1080"/>
      <c r="F41" s="1184"/>
      <c r="G41" s="1079"/>
      <c r="H41" s="1079"/>
      <c r="I41" s="1079"/>
      <c r="J41" s="1079"/>
      <c r="K41" s="1079"/>
      <c r="L41" s="38"/>
      <c r="M41" s="183"/>
      <c r="N41" s="1080"/>
      <c r="O41" s="61"/>
      <c r="P41" s="2110"/>
      <c r="Q41" s="2109"/>
      <c r="Y41" s="1205">
        <f>75000*274</f>
        <v>20550000</v>
      </c>
      <c r="Z41" s="1162" t="s">
        <v>366</v>
      </c>
      <c r="AA41" s="1162"/>
      <c r="AB41" s="1162"/>
      <c r="AC41" s="1162"/>
    </row>
    <row r="42" spans="2:29" ht="12.95" customHeight="1" thickBot="1" x14ac:dyDescent="0.25">
      <c r="B42" s="110"/>
      <c r="C42" s="107"/>
      <c r="D42" s="107"/>
      <c r="E42" s="107"/>
      <c r="F42" s="107"/>
      <c r="G42" s="107"/>
      <c r="H42" s="107"/>
      <c r="I42" s="107"/>
      <c r="J42" s="107"/>
      <c r="K42" s="107"/>
      <c r="L42" s="107"/>
      <c r="M42" s="2597" t="s">
        <v>199</v>
      </c>
      <c r="N42" s="2597"/>
      <c r="O42" s="2598"/>
      <c r="P42" s="1885">
        <f>P30</f>
        <v>0</v>
      </c>
      <c r="Q42" s="2102"/>
      <c r="S42" s="720"/>
      <c r="T42" s="966"/>
      <c r="Y42" s="1206">
        <f>274*75000</f>
        <v>20550000</v>
      </c>
      <c r="Z42" s="1162" t="s">
        <v>367</v>
      </c>
      <c r="AA42" s="1162"/>
      <c r="AB42" s="1162"/>
      <c r="AC42" s="1162"/>
    </row>
    <row r="43" spans="2:29" ht="12.95" customHeight="1" x14ac:dyDescent="0.2">
      <c r="B43" s="1209"/>
      <c r="C43" s="1183"/>
      <c r="D43" s="1183"/>
      <c r="E43" s="1183"/>
      <c r="F43" s="1183"/>
      <c r="G43" s="1183"/>
      <c r="H43" s="1183"/>
      <c r="I43" s="1183"/>
      <c r="J43" s="1183"/>
      <c r="K43" s="1183"/>
      <c r="L43" s="1183"/>
      <c r="M43" s="1183"/>
      <c r="N43" s="1183"/>
      <c r="O43" s="1183"/>
      <c r="P43" s="649"/>
      <c r="Q43" s="301"/>
      <c r="S43" s="720"/>
      <c r="T43" s="966"/>
      <c r="Y43" s="1210"/>
      <c r="Z43" s="1162"/>
      <c r="AA43" s="1162"/>
      <c r="AB43" s="1162"/>
      <c r="AC43" s="1162"/>
    </row>
    <row r="44" spans="2:29" ht="12.95" customHeight="1" x14ac:dyDescent="0.2">
      <c r="B44" s="803"/>
      <c r="C44" s="131"/>
      <c r="D44" s="131"/>
      <c r="E44" s="131"/>
      <c r="F44" s="131"/>
      <c r="G44" s="131"/>
      <c r="H44" s="131"/>
      <c r="I44" s="131"/>
      <c r="J44" s="131"/>
      <c r="K44" s="131"/>
      <c r="L44" s="131"/>
      <c r="M44" s="2506" t="str">
        <f>'RECAP APBD'!E43</f>
        <v>Banda Aceh,                   2020</v>
      </c>
      <c r="N44" s="2506"/>
      <c r="O44" s="2506"/>
      <c r="P44" s="2507"/>
      <c r="Q44" s="2028"/>
      <c r="Y44" s="1207">
        <f>SUM(Y41:Y42)</f>
        <v>41100000</v>
      </c>
      <c r="Z44" s="1162"/>
      <c r="AA44" s="1162"/>
      <c r="AB44" s="1162"/>
      <c r="AC44" s="1162"/>
    </row>
    <row r="45" spans="2:29" ht="12.95" customHeight="1" x14ac:dyDescent="0.2">
      <c r="B45" s="170"/>
      <c r="C45" s="131"/>
      <c r="D45" s="131"/>
      <c r="E45" s="131"/>
      <c r="F45" s="131"/>
      <c r="G45" s="131"/>
      <c r="H45" s="131"/>
      <c r="I45" s="131"/>
      <c r="J45" s="131"/>
      <c r="K45" s="131"/>
      <c r="L45" s="131"/>
      <c r="M45" s="2449" t="str">
        <f>'RECAP APBD'!E44</f>
        <v>Pengguna Anggaran</v>
      </c>
      <c r="N45" s="2449"/>
      <c r="O45" s="2449"/>
      <c r="P45" s="2600"/>
      <c r="Q45" s="2027"/>
      <c r="S45" s="1208"/>
      <c r="T45" s="1208"/>
      <c r="U45" s="1162"/>
      <c r="V45" s="1162"/>
      <c r="W45" s="1162"/>
      <c r="X45" s="1162"/>
      <c r="Y45" s="1162"/>
      <c r="Z45" s="1162"/>
      <c r="AA45" s="1162"/>
      <c r="AB45" s="1162"/>
      <c r="AC45" s="1162"/>
    </row>
    <row r="46" spans="2:29" ht="12.95" customHeight="1" x14ac:dyDescent="0.2">
      <c r="B46" s="170"/>
      <c r="C46" s="131"/>
      <c r="D46" s="131"/>
      <c r="E46" s="131"/>
      <c r="F46" s="131"/>
      <c r="G46" s="131"/>
      <c r="H46" s="131"/>
      <c r="I46" s="131"/>
      <c r="J46" s="131"/>
      <c r="K46" s="131"/>
      <c r="L46" s="131"/>
      <c r="M46" s="2449" t="str">
        <f>'RECAP APBD'!E45</f>
        <v>Satuan Kerja Perangkat Daerah</v>
      </c>
      <c r="N46" s="2449"/>
      <c r="O46" s="2449"/>
      <c r="P46" s="2600"/>
      <c r="Q46" s="2027"/>
      <c r="U46" s="1162"/>
      <c r="W46" s="1162"/>
      <c r="X46" s="1162"/>
      <c r="Y46" s="1162" t="s">
        <v>371</v>
      </c>
      <c r="Z46" s="1162"/>
      <c r="AA46" s="1162"/>
      <c r="AB46" s="1162"/>
      <c r="AC46" s="1162"/>
    </row>
    <row r="47" spans="2:29" ht="12.95" customHeight="1" x14ac:dyDescent="0.2">
      <c r="B47" s="170"/>
      <c r="C47" s="131"/>
      <c r="D47" s="131"/>
      <c r="E47" s="131"/>
      <c r="F47" s="131"/>
      <c r="G47" s="131"/>
      <c r="H47" s="131"/>
      <c r="I47" s="131"/>
      <c r="J47" s="131"/>
      <c r="K47" s="131"/>
      <c r="L47" s="131"/>
      <c r="M47" s="1082"/>
      <c r="N47" s="1082"/>
      <c r="O47" s="1082"/>
      <c r="P47" s="1083"/>
      <c r="Q47" s="2030"/>
      <c r="S47" s="1162"/>
      <c r="T47" s="1162"/>
      <c r="U47" s="1162"/>
      <c r="V47" s="1162"/>
      <c r="W47" s="1162"/>
    </row>
    <row r="48" spans="2:29" ht="12.95" customHeight="1" x14ac:dyDescent="0.2">
      <c r="B48" s="170"/>
      <c r="C48" s="131"/>
      <c r="D48" s="131"/>
      <c r="E48" s="131"/>
      <c r="F48" s="131"/>
      <c r="G48" s="131"/>
      <c r="H48" s="131"/>
      <c r="I48" s="131"/>
      <c r="J48" s="131"/>
      <c r="K48" s="131"/>
      <c r="L48" s="131"/>
      <c r="M48" s="2612"/>
      <c r="N48" s="2612"/>
      <c r="O48" s="2612"/>
      <c r="P48" s="2613"/>
      <c r="Q48" s="2030"/>
      <c r="S48" s="1162"/>
      <c r="T48" s="1162"/>
      <c r="Y48" s="1162">
        <v>350</v>
      </c>
      <c r="Z48" s="1162" t="s">
        <v>368</v>
      </c>
    </row>
    <row r="49" spans="2:26" ht="12.95" customHeight="1" x14ac:dyDescent="0.2">
      <c r="B49" s="170"/>
      <c r="C49" s="131"/>
      <c r="D49" s="131"/>
      <c r="E49" s="131"/>
      <c r="F49" s="131"/>
      <c r="G49" s="131"/>
      <c r="H49" s="131"/>
      <c r="I49" s="131"/>
      <c r="J49" s="131"/>
      <c r="K49" s="131"/>
      <c r="L49" s="131"/>
      <c r="M49" s="2199" t="str">
        <f>'PEMEL PRLTN GDG KTR'!M57</f>
        <v>Bustami, SH</v>
      </c>
      <c r="N49" s="2199"/>
      <c r="O49" s="2199"/>
      <c r="P49" s="2200"/>
      <c r="Q49" s="2021"/>
      <c r="S49" s="1162"/>
      <c r="T49" s="1162"/>
      <c r="Y49" s="1162">
        <f>S47+S45</f>
        <v>0</v>
      </c>
      <c r="Z49" s="1162" t="s">
        <v>369</v>
      </c>
    </row>
    <row r="50" spans="2:26" ht="12.95" customHeight="1" x14ac:dyDescent="0.2">
      <c r="B50" s="170"/>
      <c r="C50" s="131"/>
      <c r="D50" s="131"/>
      <c r="E50" s="131"/>
      <c r="F50" s="131"/>
      <c r="G50" s="131"/>
      <c r="H50" s="131"/>
      <c r="I50" s="131"/>
      <c r="J50" s="131"/>
      <c r="K50" s="131"/>
      <c r="L50" s="131"/>
      <c r="M50" s="2614" t="str">
        <f>'PEMEL PRLTN GDG KTR'!M58</f>
        <v>Pembina Utama Muda / Nip. 19630824 198703 1 004</v>
      </c>
      <c r="N50" s="2614"/>
      <c r="O50" s="2614"/>
      <c r="P50" s="2615"/>
      <c r="Q50" s="2031"/>
      <c r="S50" s="1162"/>
      <c r="T50" s="1162"/>
      <c r="Y50" s="1162">
        <f>S45+Y48</f>
        <v>350</v>
      </c>
      <c r="Z50" s="1162" t="s">
        <v>370</v>
      </c>
    </row>
    <row r="51" spans="2:26" ht="12.95" customHeight="1" x14ac:dyDescent="0.2">
      <c r="B51" s="2501" t="s">
        <v>140</v>
      </c>
      <c r="C51" s="2502"/>
      <c r="D51" s="2502"/>
      <c r="E51" s="2502"/>
      <c r="F51" s="2502"/>
      <c r="G51" s="2502"/>
      <c r="H51" s="2502"/>
      <c r="I51" s="2502"/>
      <c r="J51" s="2502"/>
      <c r="K51" s="2502"/>
      <c r="L51" s="2502"/>
      <c r="M51" s="2513"/>
      <c r="N51" s="2513"/>
      <c r="O51" s="2513"/>
      <c r="P51" s="2514"/>
      <c r="Q51" s="571"/>
    </row>
    <row r="52" spans="2:26" ht="12.95" customHeight="1" x14ac:dyDescent="0.2">
      <c r="B52" s="2501" t="s">
        <v>22</v>
      </c>
      <c r="C52" s="2502"/>
      <c r="D52" s="2502"/>
      <c r="E52" s="2502"/>
      <c r="F52" s="2502"/>
      <c r="G52" s="2502"/>
      <c r="H52" s="2502"/>
      <c r="I52" s="2502"/>
      <c r="J52" s="2502"/>
      <c r="K52" s="2502"/>
      <c r="L52" s="2502"/>
      <c r="M52" s="251"/>
      <c r="N52" s="2508"/>
      <c r="O52" s="2508"/>
      <c r="P52" s="2509"/>
      <c r="Q52" s="1490"/>
    </row>
    <row r="53" spans="2:26" ht="12.95" customHeight="1" x14ac:dyDescent="0.2">
      <c r="B53" s="2501" t="s">
        <v>21</v>
      </c>
      <c r="C53" s="2502"/>
      <c r="D53" s="2502"/>
      <c r="E53" s="2502"/>
      <c r="F53" s="2502"/>
      <c r="G53" s="2502"/>
      <c r="H53" s="2502"/>
      <c r="I53" s="2502"/>
      <c r="J53" s="2502"/>
      <c r="K53" s="2502"/>
      <c r="L53" s="2502"/>
      <c r="M53" s="251"/>
      <c r="N53" s="2503"/>
      <c r="O53" s="2503"/>
      <c r="P53" s="2504"/>
      <c r="Q53" s="2034"/>
    </row>
    <row r="54" spans="2:26" ht="12.95" customHeight="1" x14ac:dyDescent="0.2">
      <c r="B54" s="2501" t="s">
        <v>204</v>
      </c>
      <c r="C54" s="2502"/>
      <c r="D54" s="2502"/>
      <c r="E54" s="2502"/>
      <c r="F54" s="2502"/>
      <c r="G54" s="2502"/>
      <c r="H54" s="2502"/>
      <c r="I54" s="2502"/>
      <c r="J54" s="2502"/>
      <c r="K54" s="2502"/>
      <c r="L54" s="2502"/>
      <c r="M54" s="2502"/>
      <c r="N54" s="2502"/>
      <c r="O54" s="2502"/>
      <c r="P54" s="2505"/>
      <c r="Q54" s="572"/>
    </row>
    <row r="55" spans="2:26" ht="12.95" customHeight="1" x14ac:dyDescent="0.2">
      <c r="B55" s="2501" t="s">
        <v>205</v>
      </c>
      <c r="C55" s="2502"/>
      <c r="D55" s="2502"/>
      <c r="E55" s="2502"/>
      <c r="F55" s="2502"/>
      <c r="G55" s="2502"/>
      <c r="H55" s="2502"/>
      <c r="I55" s="2502"/>
      <c r="J55" s="2502"/>
      <c r="K55" s="2502"/>
      <c r="L55" s="2502"/>
      <c r="M55" s="2502"/>
      <c r="N55" s="2502"/>
      <c r="O55" s="2502"/>
      <c r="P55" s="2505"/>
      <c r="Q55" s="572"/>
    </row>
    <row r="56" spans="2:26" ht="12.95" customHeight="1" thickBot="1" x14ac:dyDescent="0.25">
      <c r="B56" s="2517" t="s">
        <v>206</v>
      </c>
      <c r="C56" s="2518"/>
      <c r="D56" s="2518"/>
      <c r="E56" s="2518"/>
      <c r="F56" s="2518"/>
      <c r="G56" s="2518"/>
      <c r="H56" s="2518"/>
      <c r="I56" s="2518"/>
      <c r="J56" s="2518"/>
      <c r="K56" s="2518"/>
      <c r="L56" s="2518"/>
      <c r="M56" s="2518"/>
      <c r="N56" s="2518"/>
      <c r="O56" s="2518"/>
      <c r="P56" s="2519"/>
      <c r="Q56" s="572"/>
    </row>
    <row r="57" spans="2:26" ht="12.95" customHeight="1" thickTop="1" x14ac:dyDescent="0.2">
      <c r="B57" s="2523" t="s">
        <v>25</v>
      </c>
      <c r="C57" s="2524"/>
      <c r="D57" s="2524"/>
      <c r="E57" s="2524"/>
      <c r="F57" s="2524"/>
      <c r="G57" s="2524"/>
      <c r="H57" s="2524"/>
      <c r="I57" s="2524"/>
      <c r="J57" s="2524"/>
      <c r="K57" s="2524"/>
      <c r="L57" s="2524"/>
      <c r="M57" s="2524"/>
      <c r="N57" s="2524"/>
      <c r="O57" s="2524"/>
      <c r="P57" s="2525"/>
      <c r="Q57" s="2023"/>
    </row>
    <row r="58" spans="2:26" ht="12.95" customHeight="1" thickBot="1" x14ac:dyDescent="0.25">
      <c r="B58" s="2526" t="s">
        <v>207</v>
      </c>
      <c r="C58" s="2527"/>
      <c r="D58" s="2528" t="s">
        <v>208</v>
      </c>
      <c r="E58" s="2529"/>
      <c r="F58" s="2529"/>
      <c r="G58" s="2529"/>
      <c r="H58" s="2529"/>
      <c r="I58" s="2529"/>
      <c r="J58" s="2529"/>
      <c r="K58" s="2529"/>
      <c r="L58" s="2530"/>
      <c r="M58" s="2531" t="s">
        <v>209</v>
      </c>
      <c r="N58" s="2530"/>
      <c r="O58" s="4" t="s">
        <v>210</v>
      </c>
      <c r="P58" s="92" t="s">
        <v>211</v>
      </c>
      <c r="Q58" s="2027"/>
    </row>
    <row r="59" spans="2:26" ht="12.95" customHeight="1" thickTop="1" x14ac:dyDescent="0.2">
      <c r="B59" s="2535">
        <v>1</v>
      </c>
      <c r="C59" s="2536"/>
      <c r="D59" s="2532"/>
      <c r="E59" s="2533"/>
      <c r="F59" s="2533"/>
      <c r="G59" s="2533"/>
      <c r="H59" s="2533"/>
      <c r="I59" s="2533"/>
      <c r="J59" s="2533"/>
      <c r="K59" s="2533"/>
      <c r="L59" s="2534"/>
      <c r="M59" s="2538"/>
      <c r="N59" s="2539"/>
      <c r="O59" s="1073"/>
      <c r="P59" s="1177" t="s">
        <v>10</v>
      </c>
      <c r="Q59" s="1257"/>
    </row>
    <row r="60" spans="2:26" ht="12.95" customHeight="1" x14ac:dyDescent="0.2">
      <c r="B60" s="2522">
        <v>2</v>
      </c>
      <c r="C60" s="2240"/>
      <c r="D60" s="1116"/>
      <c r="E60" s="1117"/>
      <c r="F60" s="1117"/>
      <c r="G60" s="1117"/>
      <c r="H60" s="1117"/>
      <c r="I60" s="1117"/>
      <c r="J60" s="1117"/>
      <c r="K60" s="1117"/>
      <c r="L60" s="1118"/>
      <c r="M60" s="2442"/>
      <c r="N60" s="2247"/>
      <c r="O60" s="1085"/>
      <c r="P60" s="1177" t="s">
        <v>11</v>
      </c>
      <c r="Q60" s="1257"/>
    </row>
    <row r="61" spans="2:26" ht="12.95" customHeight="1" x14ac:dyDescent="0.2">
      <c r="B61" s="2522">
        <v>3</v>
      </c>
      <c r="C61" s="2240"/>
      <c r="D61" s="1116"/>
      <c r="E61" s="1117"/>
      <c r="F61" s="1117"/>
      <c r="G61" s="1117"/>
      <c r="H61" s="1117"/>
      <c r="I61" s="1117"/>
      <c r="J61" s="1117"/>
      <c r="K61" s="1117"/>
      <c r="L61" s="1118"/>
      <c r="M61" s="2442"/>
      <c r="N61" s="2247"/>
      <c r="O61" s="1085"/>
      <c r="P61" s="1177" t="s">
        <v>12</v>
      </c>
      <c r="Q61" s="1257"/>
    </row>
    <row r="62" spans="2:26" ht="12.95" customHeight="1" x14ac:dyDescent="0.2">
      <c r="B62" s="2522">
        <v>4</v>
      </c>
      <c r="C62" s="2240"/>
      <c r="D62" s="1116"/>
      <c r="E62" s="1117"/>
      <c r="F62" s="1117"/>
      <c r="G62" s="1117"/>
      <c r="H62" s="1117"/>
      <c r="I62" s="1117"/>
      <c r="J62" s="1117"/>
      <c r="K62" s="1117"/>
      <c r="L62" s="1118"/>
      <c r="M62" s="2443"/>
      <c r="N62" s="2253"/>
      <c r="O62" s="1085"/>
      <c r="P62" s="1177" t="s">
        <v>13</v>
      </c>
      <c r="Q62" s="1257"/>
    </row>
    <row r="63" spans="2:26" ht="12.95" customHeight="1" x14ac:dyDescent="0.2">
      <c r="B63" s="2522">
        <v>5</v>
      </c>
      <c r="C63" s="2240"/>
      <c r="D63" s="1116"/>
      <c r="E63" s="1117"/>
      <c r="F63" s="1117"/>
      <c r="G63" s="1117"/>
      <c r="H63" s="1117"/>
      <c r="I63" s="1117"/>
      <c r="J63" s="1117"/>
      <c r="K63" s="1117"/>
      <c r="L63" s="1118"/>
      <c r="M63" s="2443"/>
      <c r="N63" s="2253"/>
      <c r="O63" s="1085"/>
      <c r="P63" s="1177" t="s">
        <v>14</v>
      </c>
      <c r="Q63" s="1257"/>
    </row>
    <row r="64" spans="2:26" ht="12.95" customHeight="1" x14ac:dyDescent="0.2">
      <c r="B64" s="2522">
        <v>6</v>
      </c>
      <c r="C64" s="2240"/>
      <c r="D64" s="1116"/>
      <c r="E64" s="1117"/>
      <c r="F64" s="1117"/>
      <c r="G64" s="1117"/>
      <c r="H64" s="1117"/>
      <c r="I64" s="1117"/>
      <c r="J64" s="1117"/>
      <c r="K64" s="1117"/>
      <c r="L64" s="1118"/>
      <c r="M64" s="2443"/>
      <c r="N64" s="2253"/>
      <c r="O64" s="1085"/>
      <c r="P64" s="1178" t="s">
        <v>42</v>
      </c>
      <c r="Q64" s="2052"/>
    </row>
    <row r="65" spans="2:17" ht="12.95" customHeight="1" thickBot="1" x14ac:dyDescent="0.25">
      <c r="B65" s="2520">
        <v>7</v>
      </c>
      <c r="C65" s="2521"/>
      <c r="D65" s="1119"/>
      <c r="E65" s="1120"/>
      <c r="F65" s="1120"/>
      <c r="G65" s="1120"/>
      <c r="H65" s="1120"/>
      <c r="I65" s="1120"/>
      <c r="J65" s="1120"/>
      <c r="K65" s="1120"/>
      <c r="L65" s="1121"/>
      <c r="M65" s="2537"/>
      <c r="N65" s="2300"/>
      <c r="O65" s="1061"/>
      <c r="P65" s="1179" t="s">
        <v>487</v>
      </c>
      <c r="Q65" s="2053"/>
    </row>
    <row r="66" spans="2:17" ht="13.5" thickTop="1" x14ac:dyDescent="0.2"/>
  </sheetData>
  <mergeCells count="84">
    <mergeCell ref="B7:K7"/>
    <mergeCell ref="M7:P7"/>
    <mergeCell ref="F2:O2"/>
    <mergeCell ref="P2:P3"/>
    <mergeCell ref="F3:O3"/>
    <mergeCell ref="B4:O4"/>
    <mergeCell ref="P4:P5"/>
    <mergeCell ref="B5:O5"/>
    <mergeCell ref="B6:K6"/>
    <mergeCell ref="M6:P6"/>
    <mergeCell ref="B8:K8"/>
    <mergeCell ref="B9:K9"/>
    <mergeCell ref="B11:K11"/>
    <mergeCell ref="L11:P11"/>
    <mergeCell ref="B12:K12"/>
    <mergeCell ref="M9:P9"/>
    <mergeCell ref="M8:P8"/>
    <mergeCell ref="B13:K13"/>
    <mergeCell ref="B14:K14"/>
    <mergeCell ref="B15:P15"/>
    <mergeCell ref="B16:K16"/>
    <mergeCell ref="L16:N16"/>
    <mergeCell ref="O16:P16"/>
    <mergeCell ref="B17:K17"/>
    <mergeCell ref="L17:N17"/>
    <mergeCell ref="O17:P17"/>
    <mergeCell ref="B18:K18"/>
    <mergeCell ref="L18:N18"/>
    <mergeCell ref="O18:P18"/>
    <mergeCell ref="B19:K19"/>
    <mergeCell ref="L19:N19"/>
    <mergeCell ref="O19:P19"/>
    <mergeCell ref="B20:K20"/>
    <mergeCell ref="L20:N20"/>
    <mergeCell ref="O20:P20"/>
    <mergeCell ref="B29:K29"/>
    <mergeCell ref="B22:P22"/>
    <mergeCell ref="B23:P23"/>
    <mergeCell ref="B24:P24"/>
    <mergeCell ref="B25:K25"/>
    <mergeCell ref="L25:L28"/>
    <mergeCell ref="M25:O25"/>
    <mergeCell ref="B26:K26"/>
    <mergeCell ref="M26:M28"/>
    <mergeCell ref="N26:N28"/>
    <mergeCell ref="O26:O28"/>
    <mergeCell ref="B27:K27"/>
    <mergeCell ref="B28:K28"/>
    <mergeCell ref="N52:P52"/>
    <mergeCell ref="M48:P48"/>
    <mergeCell ref="M49:P49"/>
    <mergeCell ref="M50:P50"/>
    <mergeCell ref="M44:P44"/>
    <mergeCell ref="M45:P45"/>
    <mergeCell ref="M46:P46"/>
    <mergeCell ref="B65:C65"/>
    <mergeCell ref="M65:N65"/>
    <mergeCell ref="B57:P57"/>
    <mergeCell ref="B60:C60"/>
    <mergeCell ref="M60:N60"/>
    <mergeCell ref="B61:C61"/>
    <mergeCell ref="M61:N61"/>
    <mergeCell ref="B62:C62"/>
    <mergeCell ref="M62:N62"/>
    <mergeCell ref="B63:C63"/>
    <mergeCell ref="M63:N63"/>
    <mergeCell ref="B64:C64"/>
    <mergeCell ref="M64:N64"/>
    <mergeCell ref="B21:P21"/>
    <mergeCell ref="B58:C58"/>
    <mergeCell ref="D58:L58"/>
    <mergeCell ref="M58:N58"/>
    <mergeCell ref="B59:C59"/>
    <mergeCell ref="D59:L59"/>
    <mergeCell ref="M59:N59"/>
    <mergeCell ref="B54:P54"/>
    <mergeCell ref="B55:P55"/>
    <mergeCell ref="B56:P56"/>
    <mergeCell ref="M42:O42"/>
    <mergeCell ref="B51:L51"/>
    <mergeCell ref="M51:P51"/>
    <mergeCell ref="B52:L52"/>
    <mergeCell ref="B53:L53"/>
    <mergeCell ref="N53:P53"/>
  </mergeCells>
  <pageMargins left="0.57999999999999996" right="0.33" top="0.75" bottom="0.75" header="0.43" footer="0.3"/>
  <pageSetup paperSize="5" scale="76"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W119"/>
  <sheetViews>
    <sheetView view="pageBreakPreview" topLeftCell="H19" zoomScale="70" zoomScaleSheetLayoutView="70" workbookViewId="0">
      <selection activeCell="P29" sqref="P29"/>
    </sheetView>
  </sheetViews>
  <sheetFormatPr defaultColWidth="9.140625" defaultRowHeight="12.75" x14ac:dyDescent="0.2"/>
  <cols>
    <col min="1" max="1" width="6" style="1261" customWidth="1"/>
    <col min="2" max="4" width="2.7109375" style="1261" customWidth="1"/>
    <col min="5" max="5" width="3.28515625" style="1261" customWidth="1"/>
    <col min="6" max="9" width="2.7109375" style="1261" customWidth="1"/>
    <col min="10" max="11" width="3.42578125" style="1261" customWidth="1"/>
    <col min="12" max="12" width="47.5703125" style="1261" customWidth="1"/>
    <col min="13" max="13" width="11.7109375" style="1261" customWidth="1"/>
    <col min="14" max="14" width="10" style="1261" customWidth="1"/>
    <col min="15" max="15" width="13.5703125" style="1261" customWidth="1"/>
    <col min="16" max="16" width="16.5703125" style="1261" customWidth="1"/>
    <col min="17" max="17" width="15.140625" style="1261" customWidth="1"/>
    <col min="18" max="18" width="24.42578125" style="1261" customWidth="1"/>
    <col min="19" max="19" width="4.5703125" style="1261" customWidth="1"/>
    <col min="20" max="20" width="2" style="1261" customWidth="1"/>
    <col min="21" max="21" width="10.42578125" style="1261" customWidth="1"/>
    <col min="22" max="22" width="13.140625" style="1261" customWidth="1"/>
    <col min="23" max="23" width="16" style="1261" customWidth="1"/>
    <col min="24" max="24" width="12.5703125" style="1261" bestFit="1" customWidth="1"/>
    <col min="25" max="25" width="12.140625" style="1261" customWidth="1"/>
    <col min="26" max="16384" width="9.140625" style="1261"/>
  </cols>
  <sheetData>
    <row r="1" spans="2:16" ht="13.5" thickBot="1" x14ac:dyDescent="0.25"/>
    <row r="2" spans="2:16" ht="18.95" customHeight="1" thickTop="1" x14ac:dyDescent="0.2">
      <c r="B2" s="209"/>
      <c r="C2" s="210"/>
      <c r="D2" s="210"/>
      <c r="E2" s="210"/>
      <c r="F2" s="2623" t="s">
        <v>182</v>
      </c>
      <c r="G2" s="2623"/>
      <c r="H2" s="2623"/>
      <c r="I2" s="2623"/>
      <c r="J2" s="2623"/>
      <c r="K2" s="2623"/>
      <c r="L2" s="2623"/>
      <c r="M2" s="2623"/>
      <c r="N2" s="2623"/>
      <c r="O2" s="2624"/>
      <c r="P2" s="2625" t="s">
        <v>67</v>
      </c>
    </row>
    <row r="3" spans="2:16" ht="18.95" customHeight="1" x14ac:dyDescent="0.2">
      <c r="B3" s="211"/>
      <c r="C3" s="212"/>
      <c r="D3" s="212"/>
      <c r="E3" s="212"/>
      <c r="F3" s="2627" t="s">
        <v>183</v>
      </c>
      <c r="G3" s="2627"/>
      <c r="H3" s="2627"/>
      <c r="I3" s="2627"/>
      <c r="J3" s="2627"/>
      <c r="K3" s="2627"/>
      <c r="L3" s="2627"/>
      <c r="M3" s="2627"/>
      <c r="N3" s="2627"/>
      <c r="O3" s="2628"/>
      <c r="P3" s="2626"/>
    </row>
    <row r="4" spans="2:16" ht="12.95" customHeight="1" x14ac:dyDescent="0.2">
      <c r="B4" s="2629" t="s">
        <v>33</v>
      </c>
      <c r="C4" s="2630"/>
      <c r="D4" s="2630"/>
      <c r="E4" s="2630"/>
      <c r="F4" s="2630"/>
      <c r="G4" s="2630"/>
      <c r="H4" s="2630"/>
      <c r="I4" s="2630"/>
      <c r="J4" s="2630"/>
      <c r="K4" s="2630"/>
      <c r="L4" s="2630"/>
      <c r="M4" s="2630"/>
      <c r="N4" s="2630"/>
      <c r="O4" s="2631"/>
      <c r="P4" s="2632" t="s">
        <v>30</v>
      </c>
    </row>
    <row r="5" spans="2:16" ht="12.95" customHeight="1" thickBot="1" x14ac:dyDescent="0.25">
      <c r="B5" s="2634" t="str">
        <f>'RECAP APBD'!B5:F5</f>
        <v>Tahun Anggaran 2020</v>
      </c>
      <c r="C5" s="2635"/>
      <c r="D5" s="2635"/>
      <c r="E5" s="2635"/>
      <c r="F5" s="2635"/>
      <c r="G5" s="2635"/>
      <c r="H5" s="2635"/>
      <c r="I5" s="2635"/>
      <c r="J5" s="2635"/>
      <c r="K5" s="2635"/>
      <c r="L5" s="2635"/>
      <c r="M5" s="2635"/>
      <c r="N5" s="2635"/>
      <c r="O5" s="2636"/>
      <c r="P5" s="2633"/>
    </row>
    <row r="6" spans="2:16" s="715" customFormat="1" ht="12.95" customHeight="1" x14ac:dyDescent="0.2">
      <c r="B6" s="2462" t="s">
        <v>453</v>
      </c>
      <c r="C6" s="2463"/>
      <c r="D6" s="2463"/>
      <c r="E6" s="2463"/>
      <c r="F6" s="2463"/>
      <c r="G6" s="2463"/>
      <c r="H6" s="2463"/>
      <c r="I6" s="2463"/>
      <c r="J6" s="2463"/>
      <c r="K6" s="2463"/>
      <c r="L6" s="1646" t="s">
        <v>442</v>
      </c>
      <c r="M6" s="2213" t="s">
        <v>437</v>
      </c>
      <c r="N6" s="2213"/>
      <c r="O6" s="2213"/>
      <c r="P6" s="2214"/>
    </row>
    <row r="7" spans="2:16" s="715" customFormat="1" ht="12.95" customHeight="1" x14ac:dyDescent="0.2">
      <c r="B7" s="2471" t="s">
        <v>19</v>
      </c>
      <c r="C7" s="2355"/>
      <c r="D7" s="2355"/>
      <c r="E7" s="2355"/>
      <c r="F7" s="2355"/>
      <c r="G7" s="2355"/>
      <c r="H7" s="2355"/>
      <c r="I7" s="2355"/>
      <c r="J7" s="2355"/>
      <c r="K7" s="2355"/>
      <c r="L7" s="330" t="s">
        <v>672</v>
      </c>
      <c r="M7" s="2541" t="s">
        <v>466</v>
      </c>
      <c r="N7" s="2541"/>
      <c r="O7" s="2541"/>
      <c r="P7" s="2542"/>
    </row>
    <row r="8" spans="2:16" ht="12.95" customHeight="1" x14ac:dyDescent="0.2">
      <c r="B8" s="2637" t="s">
        <v>32</v>
      </c>
      <c r="C8" s="2638"/>
      <c r="D8" s="2638"/>
      <c r="E8" s="2638"/>
      <c r="F8" s="2638"/>
      <c r="G8" s="2638"/>
      <c r="H8" s="2638"/>
      <c r="I8" s="2638"/>
      <c r="J8" s="2638"/>
      <c r="K8" s="2638"/>
      <c r="L8" s="1647" t="s">
        <v>497</v>
      </c>
      <c r="M8" s="2639" t="s">
        <v>946</v>
      </c>
      <c r="N8" s="2639"/>
      <c r="O8" s="2639"/>
      <c r="P8" s="2640"/>
    </row>
    <row r="9" spans="2:16" ht="14.1" customHeight="1" x14ac:dyDescent="0.2">
      <c r="B9" s="2648" t="s">
        <v>20</v>
      </c>
      <c r="C9" s="2649"/>
      <c r="D9" s="2649"/>
      <c r="E9" s="2649"/>
      <c r="F9" s="2649"/>
      <c r="G9" s="2649"/>
      <c r="H9" s="2649"/>
      <c r="I9" s="2649"/>
      <c r="J9" s="2649"/>
      <c r="K9" s="2649"/>
      <c r="L9" s="454" t="s">
        <v>952</v>
      </c>
      <c r="M9" s="2650" t="s">
        <v>942</v>
      </c>
      <c r="N9" s="2650"/>
      <c r="O9" s="2650"/>
      <c r="P9" s="2651"/>
    </row>
    <row r="10" spans="2:16" ht="33.950000000000003" customHeight="1" x14ac:dyDescent="0.2">
      <c r="B10" s="2652" t="s">
        <v>221</v>
      </c>
      <c r="C10" s="2653"/>
      <c r="D10" s="2653"/>
      <c r="E10" s="2653"/>
      <c r="F10" s="2653"/>
      <c r="G10" s="2653"/>
      <c r="H10" s="2653"/>
      <c r="I10" s="2653"/>
      <c r="J10" s="2653"/>
      <c r="K10" s="2653"/>
      <c r="L10" s="2654" t="s">
        <v>917</v>
      </c>
      <c r="M10" s="2654"/>
      <c r="N10" s="2654"/>
      <c r="O10" s="2654"/>
      <c r="P10" s="2655"/>
    </row>
    <row r="11" spans="2:16" ht="12.95" customHeight="1" x14ac:dyDescent="0.2">
      <c r="B11" s="2637" t="s">
        <v>222</v>
      </c>
      <c r="C11" s="2638"/>
      <c r="D11" s="2638"/>
      <c r="E11" s="2638"/>
      <c r="F11" s="2638"/>
      <c r="G11" s="2638"/>
      <c r="H11" s="2638"/>
      <c r="I11" s="2638"/>
      <c r="J11" s="2638"/>
      <c r="K11" s="2638"/>
      <c r="L11" s="213">
        <v>0</v>
      </c>
      <c r="M11" s="213"/>
      <c r="N11" s="213"/>
      <c r="O11" s="213"/>
      <c r="P11" s="214"/>
    </row>
    <row r="12" spans="2:16" ht="12.95" customHeight="1" x14ac:dyDescent="0.2">
      <c r="B12" s="2637" t="s">
        <v>223</v>
      </c>
      <c r="C12" s="2638"/>
      <c r="D12" s="2638"/>
      <c r="E12" s="2638"/>
      <c r="F12" s="2638"/>
      <c r="G12" s="2638"/>
      <c r="H12" s="2638"/>
      <c r="I12" s="2638"/>
      <c r="J12" s="2638"/>
      <c r="K12" s="2638"/>
      <c r="L12" s="371">
        <f>+P29</f>
        <v>32283930</v>
      </c>
      <c r="M12" s="213"/>
      <c r="N12" s="213"/>
      <c r="O12" s="213"/>
      <c r="P12" s="214"/>
    </row>
    <row r="13" spans="2:16" ht="12.95" customHeight="1" x14ac:dyDescent="0.2">
      <c r="B13" s="2637" t="s">
        <v>224</v>
      </c>
      <c r="C13" s="2638"/>
      <c r="D13" s="2638"/>
      <c r="E13" s="2638"/>
      <c r="F13" s="2638"/>
      <c r="G13" s="2638"/>
      <c r="H13" s="2638"/>
      <c r="I13" s="2638"/>
      <c r="J13" s="2638"/>
      <c r="K13" s="2638"/>
      <c r="L13" s="152">
        <f>L12+(L12*5%)</f>
        <v>33898126.5</v>
      </c>
      <c r="M13" s="213"/>
      <c r="N13" s="213"/>
      <c r="O13" s="213"/>
      <c r="P13" s="214"/>
    </row>
    <row r="14" spans="2:16" ht="12.95" customHeight="1" x14ac:dyDescent="0.2">
      <c r="B14" s="2656" t="s">
        <v>225</v>
      </c>
      <c r="C14" s="2657"/>
      <c r="D14" s="2657"/>
      <c r="E14" s="2657"/>
      <c r="F14" s="2657"/>
      <c r="G14" s="2657"/>
      <c r="H14" s="2657"/>
      <c r="I14" s="2657"/>
      <c r="J14" s="2657"/>
      <c r="K14" s="2657"/>
      <c r="L14" s="2657"/>
      <c r="M14" s="2657"/>
      <c r="N14" s="2657"/>
      <c r="O14" s="2657"/>
      <c r="P14" s="2658"/>
    </row>
    <row r="15" spans="2:16" ht="12.95" customHeight="1" x14ac:dyDescent="0.2">
      <c r="B15" s="2656" t="s">
        <v>36</v>
      </c>
      <c r="C15" s="2657"/>
      <c r="D15" s="2657"/>
      <c r="E15" s="2657"/>
      <c r="F15" s="2657"/>
      <c r="G15" s="2657"/>
      <c r="H15" s="2657"/>
      <c r="I15" s="2657"/>
      <c r="J15" s="2657"/>
      <c r="K15" s="2659"/>
      <c r="L15" s="2660" t="s">
        <v>226</v>
      </c>
      <c r="M15" s="2657"/>
      <c r="N15" s="2659"/>
      <c r="O15" s="2660" t="s">
        <v>227</v>
      </c>
      <c r="P15" s="2658"/>
    </row>
    <row r="16" spans="2:16" ht="12.95" customHeight="1" x14ac:dyDescent="0.2">
      <c r="B16" s="2641" t="s">
        <v>37</v>
      </c>
      <c r="C16" s="2642"/>
      <c r="D16" s="2642"/>
      <c r="E16" s="2642"/>
      <c r="F16" s="2642"/>
      <c r="G16" s="2642"/>
      <c r="H16" s="2642"/>
      <c r="I16" s="2642"/>
      <c r="J16" s="2642"/>
      <c r="K16" s="2643"/>
      <c r="L16" s="2644" t="s">
        <v>776</v>
      </c>
      <c r="M16" s="2503"/>
      <c r="N16" s="2645"/>
      <c r="O16" s="2646">
        <v>1</v>
      </c>
      <c r="P16" s="2647"/>
    </row>
    <row r="17" spans="2:18" ht="12.95" customHeight="1" x14ac:dyDescent="0.2">
      <c r="B17" s="2641" t="s">
        <v>228</v>
      </c>
      <c r="C17" s="2642"/>
      <c r="D17" s="2642"/>
      <c r="E17" s="2642"/>
      <c r="F17" s="2642"/>
      <c r="G17" s="2642"/>
      <c r="H17" s="2642"/>
      <c r="I17" s="2642"/>
      <c r="J17" s="2642"/>
      <c r="K17" s="2643"/>
      <c r="L17" s="2228" t="s">
        <v>287</v>
      </c>
      <c r="M17" s="2228"/>
      <c r="N17" s="2577"/>
      <c r="O17" s="2661">
        <f>P29</f>
        <v>32283930</v>
      </c>
      <c r="P17" s="2662"/>
    </row>
    <row r="18" spans="2:18" ht="12.95" customHeight="1" x14ac:dyDescent="0.2">
      <c r="B18" s="2641" t="s">
        <v>229</v>
      </c>
      <c r="C18" s="2642"/>
      <c r="D18" s="2642"/>
      <c r="E18" s="2642"/>
      <c r="F18" s="2642"/>
      <c r="G18" s="2642"/>
      <c r="H18" s="2642"/>
      <c r="I18" s="2642"/>
      <c r="J18" s="2642"/>
      <c r="K18" s="2643"/>
      <c r="L18" s="2644" t="s">
        <v>943</v>
      </c>
      <c r="M18" s="2503"/>
      <c r="N18" s="2645"/>
      <c r="O18" s="2646" t="s">
        <v>690</v>
      </c>
      <c r="P18" s="2647"/>
    </row>
    <row r="19" spans="2:18" ht="12.95" customHeight="1" x14ac:dyDescent="0.2">
      <c r="B19" s="2641" t="s">
        <v>230</v>
      </c>
      <c r="C19" s="2642"/>
      <c r="D19" s="2642"/>
      <c r="E19" s="2642"/>
      <c r="F19" s="2642"/>
      <c r="G19" s="2642"/>
      <c r="H19" s="2642"/>
      <c r="I19" s="2642"/>
      <c r="J19" s="2642"/>
      <c r="K19" s="2643"/>
      <c r="L19" s="2644" t="s">
        <v>778</v>
      </c>
      <c r="M19" s="2663"/>
      <c r="N19" s="2664"/>
      <c r="O19" s="2646">
        <v>0.15</v>
      </c>
      <c r="P19" s="2647"/>
    </row>
    <row r="20" spans="2:18" ht="6.95" customHeight="1" x14ac:dyDescent="0.2">
      <c r="B20" s="2665"/>
      <c r="C20" s="2666"/>
      <c r="D20" s="2666"/>
      <c r="E20" s="2666"/>
      <c r="F20" s="2666"/>
      <c r="G20" s="2666"/>
      <c r="H20" s="2666"/>
      <c r="I20" s="2666"/>
      <c r="J20" s="2666"/>
      <c r="K20" s="2666"/>
      <c r="L20" s="2666"/>
      <c r="M20" s="2666"/>
      <c r="N20" s="2666"/>
      <c r="O20" s="2666"/>
      <c r="P20" s="2667"/>
    </row>
    <row r="21" spans="2:18" ht="12.95" customHeight="1" x14ac:dyDescent="0.2">
      <c r="B21" s="2668" t="s">
        <v>541</v>
      </c>
      <c r="C21" s="2669"/>
      <c r="D21" s="2669"/>
      <c r="E21" s="2669"/>
      <c r="F21" s="2669"/>
      <c r="G21" s="2669"/>
      <c r="H21" s="2669"/>
      <c r="I21" s="2669"/>
      <c r="J21" s="2669"/>
      <c r="K21" s="2669"/>
      <c r="L21" s="2669"/>
      <c r="M21" s="2669"/>
      <c r="N21" s="2669"/>
      <c r="O21" s="2669"/>
      <c r="P21" s="2670"/>
    </row>
    <row r="22" spans="2:18" ht="12.95" customHeight="1" x14ac:dyDescent="0.2">
      <c r="B22" s="2487" t="s">
        <v>231</v>
      </c>
      <c r="C22" s="2488"/>
      <c r="D22" s="2488"/>
      <c r="E22" s="2488"/>
      <c r="F22" s="2488"/>
      <c r="G22" s="2488"/>
      <c r="H22" s="2488"/>
      <c r="I22" s="2488"/>
      <c r="J22" s="2488"/>
      <c r="K22" s="2488"/>
      <c r="L22" s="2488"/>
      <c r="M22" s="2488"/>
      <c r="N22" s="2488"/>
      <c r="O22" s="2488"/>
      <c r="P22" s="2489"/>
    </row>
    <row r="23" spans="2:18" ht="12.95" customHeight="1" x14ac:dyDescent="0.2">
      <c r="B23" s="2490" t="s">
        <v>38</v>
      </c>
      <c r="C23" s="2491"/>
      <c r="D23" s="2491"/>
      <c r="E23" s="2491"/>
      <c r="F23" s="2491"/>
      <c r="G23" s="2491"/>
      <c r="H23" s="2491"/>
      <c r="I23" s="2491"/>
      <c r="J23" s="2491"/>
      <c r="K23" s="2491"/>
      <c r="L23" s="2491"/>
      <c r="M23" s="2491"/>
      <c r="N23" s="2491"/>
      <c r="O23" s="2491"/>
      <c r="P23" s="2492"/>
    </row>
    <row r="24" spans="2:18" ht="12.95" customHeight="1" x14ac:dyDescent="0.2">
      <c r="B24" s="2673"/>
      <c r="C24" s="2674"/>
      <c r="D24" s="2674"/>
      <c r="E24" s="2674"/>
      <c r="F24" s="2674"/>
      <c r="G24" s="2674"/>
      <c r="H24" s="2674"/>
      <c r="I24" s="2674"/>
      <c r="J24" s="2674"/>
      <c r="K24" s="2675"/>
      <c r="L24" s="2676" t="s">
        <v>191</v>
      </c>
      <c r="M24" s="2679" t="s">
        <v>198</v>
      </c>
      <c r="N24" s="2680"/>
      <c r="O24" s="2681"/>
      <c r="P24" s="1262"/>
    </row>
    <row r="25" spans="2:18" ht="12.95" customHeight="1" x14ac:dyDescent="0.2">
      <c r="B25" s="2682" t="s">
        <v>189</v>
      </c>
      <c r="C25" s="2683"/>
      <c r="D25" s="2683"/>
      <c r="E25" s="2683"/>
      <c r="F25" s="2683"/>
      <c r="G25" s="2683"/>
      <c r="H25" s="2683"/>
      <c r="I25" s="2683"/>
      <c r="J25" s="2683"/>
      <c r="K25" s="2684"/>
      <c r="L25" s="2677"/>
      <c r="M25" s="2685" t="s">
        <v>200</v>
      </c>
      <c r="N25" s="2676" t="s">
        <v>26</v>
      </c>
      <c r="O25" s="2676" t="s">
        <v>217</v>
      </c>
      <c r="P25" s="1649" t="s">
        <v>192</v>
      </c>
    </row>
    <row r="26" spans="2:18" ht="12.95" customHeight="1" x14ac:dyDescent="0.2">
      <c r="B26" s="2682" t="s">
        <v>197</v>
      </c>
      <c r="C26" s="2683"/>
      <c r="D26" s="2683"/>
      <c r="E26" s="2683"/>
      <c r="F26" s="2683"/>
      <c r="G26" s="2683"/>
      <c r="H26" s="2683"/>
      <c r="I26" s="2683"/>
      <c r="J26" s="2683"/>
      <c r="K26" s="2684"/>
      <c r="L26" s="2677"/>
      <c r="M26" s="2686"/>
      <c r="N26" s="2677"/>
      <c r="O26" s="2677"/>
      <c r="P26" s="1649" t="s">
        <v>193</v>
      </c>
    </row>
    <row r="27" spans="2:18" ht="12.95" customHeight="1" x14ac:dyDescent="0.2">
      <c r="B27" s="2688"/>
      <c r="C27" s="2689"/>
      <c r="D27" s="2689"/>
      <c r="E27" s="2689"/>
      <c r="F27" s="2689"/>
      <c r="G27" s="2689"/>
      <c r="H27" s="2689"/>
      <c r="I27" s="2689"/>
      <c r="J27" s="2689"/>
      <c r="K27" s="2690"/>
      <c r="L27" s="2678"/>
      <c r="M27" s="2687"/>
      <c r="N27" s="2678"/>
      <c r="O27" s="2678"/>
      <c r="P27" s="1263"/>
    </row>
    <row r="28" spans="2:18" ht="12.95" customHeight="1" thickBot="1" x14ac:dyDescent="0.25">
      <c r="B28" s="2691">
        <v>1</v>
      </c>
      <c r="C28" s="2692"/>
      <c r="D28" s="2692"/>
      <c r="E28" s="2692"/>
      <c r="F28" s="2692"/>
      <c r="G28" s="2692"/>
      <c r="H28" s="2692"/>
      <c r="I28" s="2692"/>
      <c r="J28" s="2692"/>
      <c r="K28" s="2693"/>
      <c r="L28" s="1086">
        <v>2</v>
      </c>
      <c r="M28" s="1086">
        <v>3</v>
      </c>
      <c r="N28" s="1086">
        <v>4</v>
      </c>
      <c r="O28" s="216">
        <v>5</v>
      </c>
      <c r="P28" s="217" t="s">
        <v>24</v>
      </c>
    </row>
    <row r="29" spans="2:18" ht="12.95" customHeight="1" thickTop="1" x14ac:dyDescent="0.2">
      <c r="B29" s="218">
        <v>1</v>
      </c>
      <c r="C29" s="219" t="s">
        <v>498</v>
      </c>
      <c r="D29" s="219" t="s">
        <v>142</v>
      </c>
      <c r="E29" s="220"/>
      <c r="F29" s="221"/>
      <c r="G29" s="222">
        <v>5</v>
      </c>
      <c r="H29" s="222">
        <v>2</v>
      </c>
      <c r="I29" s="221"/>
      <c r="J29" s="221"/>
      <c r="K29" s="221"/>
      <c r="L29" s="223" t="s">
        <v>108</v>
      </c>
      <c r="M29" s="224"/>
      <c r="N29" s="225"/>
      <c r="O29" s="226"/>
      <c r="P29" s="645">
        <f>P30</f>
        <v>32283930</v>
      </c>
      <c r="Q29" s="1309">
        <f>L11</f>
        <v>0</v>
      </c>
      <c r="R29" s="1264"/>
    </row>
    <row r="30" spans="2:18" ht="26.1" customHeight="1" x14ac:dyDescent="0.2">
      <c r="B30" s="218">
        <v>1</v>
      </c>
      <c r="C30" s="219" t="s">
        <v>498</v>
      </c>
      <c r="D30" s="219" t="s">
        <v>142</v>
      </c>
      <c r="E30" s="227">
        <v>15</v>
      </c>
      <c r="F30" s="219"/>
      <c r="G30" s="222"/>
      <c r="H30" s="222"/>
      <c r="I30" s="221"/>
      <c r="J30" s="221"/>
      <c r="K30" s="221"/>
      <c r="L30" s="1658" t="s">
        <v>571</v>
      </c>
      <c r="M30" s="1411"/>
      <c r="N30" s="225"/>
      <c r="O30" s="226"/>
      <c r="P30" s="646">
        <f>P31</f>
        <v>32283930</v>
      </c>
      <c r="Q30" s="1223">
        <f>P29-Q29</f>
        <v>32283930</v>
      </c>
      <c r="R30" s="1223"/>
    </row>
    <row r="31" spans="2:18" ht="26.1" customHeight="1" x14ac:dyDescent="0.2">
      <c r="B31" s="467">
        <v>1</v>
      </c>
      <c r="C31" s="468" t="s">
        <v>498</v>
      </c>
      <c r="D31" s="468" t="s">
        <v>142</v>
      </c>
      <c r="E31" s="469">
        <v>15</v>
      </c>
      <c r="F31" s="469" t="s">
        <v>142</v>
      </c>
      <c r="G31" s="222"/>
      <c r="H31" s="222"/>
      <c r="I31" s="221"/>
      <c r="J31" s="221"/>
      <c r="K31" s="219"/>
      <c r="L31" s="1659" t="s">
        <v>942</v>
      </c>
      <c r="M31" s="1411"/>
      <c r="N31" s="225"/>
      <c r="O31" s="226"/>
      <c r="P31" s="646">
        <f>SUM(P33+P52)</f>
        <v>32283930</v>
      </c>
    </row>
    <row r="32" spans="2:18" ht="12.95" customHeight="1" x14ac:dyDescent="0.2">
      <c r="B32" s="218"/>
      <c r="C32" s="219"/>
      <c r="D32" s="219"/>
      <c r="E32" s="227"/>
      <c r="F32" s="219"/>
      <c r="G32" s="222"/>
      <c r="H32" s="222"/>
      <c r="I32" s="221"/>
      <c r="J32" s="221"/>
      <c r="K32" s="219"/>
      <c r="L32" s="1310"/>
      <c r="M32" s="1404"/>
      <c r="N32" s="231"/>
      <c r="O32" s="232"/>
      <c r="P32" s="645"/>
    </row>
    <row r="33" spans="2:20" ht="12.95" customHeight="1" x14ac:dyDescent="0.2">
      <c r="B33" s="218">
        <v>1</v>
      </c>
      <c r="C33" s="219" t="s">
        <v>498</v>
      </c>
      <c r="D33" s="219" t="s">
        <v>142</v>
      </c>
      <c r="E33" s="227">
        <v>15</v>
      </c>
      <c r="F33" s="227" t="s">
        <v>142</v>
      </c>
      <c r="G33" s="222">
        <v>5</v>
      </c>
      <c r="H33" s="222">
        <v>2</v>
      </c>
      <c r="I33" s="221">
        <v>1</v>
      </c>
      <c r="J33" s="221"/>
      <c r="K33" s="221"/>
      <c r="L33" s="233" t="s">
        <v>86</v>
      </c>
      <c r="M33" s="1405"/>
      <c r="N33" s="1266"/>
      <c r="O33" s="1267"/>
      <c r="P33" s="645">
        <f>P34+P45</f>
        <v>16100000</v>
      </c>
    </row>
    <row r="34" spans="2:20" ht="12.95" customHeight="1" x14ac:dyDescent="0.2">
      <c r="B34" s="218">
        <v>1</v>
      </c>
      <c r="C34" s="219" t="s">
        <v>498</v>
      </c>
      <c r="D34" s="219" t="s">
        <v>142</v>
      </c>
      <c r="E34" s="227">
        <v>15</v>
      </c>
      <c r="F34" s="227" t="s">
        <v>142</v>
      </c>
      <c r="G34" s="222">
        <v>5</v>
      </c>
      <c r="H34" s="222">
        <v>2</v>
      </c>
      <c r="I34" s="221">
        <v>1</v>
      </c>
      <c r="J34" s="219" t="s">
        <v>142</v>
      </c>
      <c r="K34" s="221"/>
      <c r="L34" s="234" t="s">
        <v>159</v>
      </c>
      <c r="M34" s="1405"/>
      <c r="N34" s="1268"/>
      <c r="O34" s="1269"/>
      <c r="P34" s="645">
        <f>P35+P38</f>
        <v>15000000</v>
      </c>
    </row>
    <row r="35" spans="2:20" ht="12.95" customHeight="1" x14ac:dyDescent="0.2">
      <c r="B35" s="218">
        <v>1</v>
      </c>
      <c r="C35" s="219" t="s">
        <v>498</v>
      </c>
      <c r="D35" s="219" t="s">
        <v>142</v>
      </c>
      <c r="E35" s="227">
        <v>15</v>
      </c>
      <c r="F35" s="227" t="s">
        <v>142</v>
      </c>
      <c r="G35" s="222">
        <v>5</v>
      </c>
      <c r="H35" s="222">
        <v>2</v>
      </c>
      <c r="I35" s="221">
        <v>1</v>
      </c>
      <c r="J35" s="219" t="s">
        <v>142</v>
      </c>
      <c r="K35" s="219" t="s">
        <v>142</v>
      </c>
      <c r="L35" s="322" t="s">
        <v>143</v>
      </c>
      <c r="M35" s="1343"/>
      <c r="N35" s="1271"/>
      <c r="O35" s="1272"/>
      <c r="P35" s="642">
        <f>SUM(P36:P36)</f>
        <v>1500000</v>
      </c>
    </row>
    <row r="36" spans="2:20" ht="25.5" customHeight="1" x14ac:dyDescent="0.2">
      <c r="B36" s="218"/>
      <c r="C36" s="219"/>
      <c r="D36" s="219"/>
      <c r="E36" s="236"/>
      <c r="F36" s="219"/>
      <c r="G36" s="221"/>
      <c r="H36" s="221"/>
      <c r="I36" s="237"/>
      <c r="J36" s="238"/>
      <c r="K36" s="219"/>
      <c r="L36" s="239" t="s">
        <v>1021</v>
      </c>
      <c r="M36" s="1392">
        <v>6</v>
      </c>
      <c r="N36" s="1570" t="s">
        <v>138</v>
      </c>
      <c r="O36" s="1571">
        <v>250000</v>
      </c>
      <c r="P36" s="1572">
        <f>O36*M36</f>
        <v>1500000</v>
      </c>
    </row>
    <row r="37" spans="2:20" ht="12.95" customHeight="1" x14ac:dyDescent="0.2">
      <c r="B37" s="218"/>
      <c r="C37" s="219"/>
      <c r="D37" s="219"/>
      <c r="E37" s="236"/>
      <c r="F37" s="219"/>
      <c r="G37" s="221"/>
      <c r="H37" s="221"/>
      <c r="I37" s="237"/>
      <c r="J37" s="238"/>
      <c r="K37" s="219"/>
      <c r="L37" s="240"/>
      <c r="M37" s="1392"/>
      <c r="N37" s="1224"/>
      <c r="O37" s="1311"/>
      <c r="P37" s="1231"/>
    </row>
    <row r="38" spans="2:20" ht="12.95" customHeight="1" x14ac:dyDescent="0.2">
      <c r="B38" s="218">
        <v>1</v>
      </c>
      <c r="C38" s="219" t="s">
        <v>498</v>
      </c>
      <c r="D38" s="219" t="s">
        <v>142</v>
      </c>
      <c r="E38" s="227">
        <v>15</v>
      </c>
      <c r="F38" s="227" t="s">
        <v>142</v>
      </c>
      <c r="G38" s="222">
        <v>5</v>
      </c>
      <c r="H38" s="222">
        <v>2</v>
      </c>
      <c r="I38" s="221">
        <v>1</v>
      </c>
      <c r="J38" s="219" t="s">
        <v>142</v>
      </c>
      <c r="K38" s="219" t="s">
        <v>181</v>
      </c>
      <c r="L38" s="322" t="s">
        <v>542</v>
      </c>
      <c r="M38" s="1392"/>
      <c r="N38" s="1230"/>
      <c r="O38" s="1224"/>
      <c r="P38" s="644">
        <f>P39</f>
        <v>13500000</v>
      </c>
    </row>
    <row r="39" spans="2:20" ht="12.95" customHeight="1" x14ac:dyDescent="0.2">
      <c r="B39" s="218"/>
      <c r="C39" s="219"/>
      <c r="D39" s="219"/>
      <c r="E39" s="236"/>
      <c r="F39" s="219"/>
      <c r="G39" s="221"/>
      <c r="H39" s="221"/>
      <c r="I39" s="222"/>
      <c r="J39" s="323"/>
      <c r="K39" s="219"/>
      <c r="L39" s="417" t="s">
        <v>996</v>
      </c>
      <c r="M39" s="1392"/>
      <c r="N39" s="1230"/>
      <c r="O39" s="1232"/>
      <c r="P39" s="1231">
        <f>SUM(P40:P43)</f>
        <v>13500000</v>
      </c>
      <c r="Q39" s="1223"/>
    </row>
    <row r="40" spans="2:20" ht="12.95" customHeight="1" x14ac:dyDescent="0.2">
      <c r="B40" s="218"/>
      <c r="C40" s="219"/>
      <c r="D40" s="219"/>
      <c r="E40" s="236"/>
      <c r="F40" s="219"/>
      <c r="G40" s="221"/>
      <c r="H40" s="221"/>
      <c r="I40" s="222"/>
      <c r="J40" s="323"/>
      <c r="K40" s="219"/>
      <c r="L40" s="1730" t="s">
        <v>1022</v>
      </c>
      <c r="M40" s="1343">
        <f>1*6</f>
        <v>6</v>
      </c>
      <c r="N40" s="1272" t="s">
        <v>138</v>
      </c>
      <c r="O40" s="1275">
        <v>500000</v>
      </c>
      <c r="P40" s="1231">
        <f>M40*O40</f>
        <v>3000000</v>
      </c>
    </row>
    <row r="41" spans="2:20" s="1889" customFormat="1" ht="12.95" customHeight="1" x14ac:dyDescent="0.2">
      <c r="B41" s="411"/>
      <c r="C41" s="412"/>
      <c r="D41" s="412"/>
      <c r="E41" s="418"/>
      <c r="F41" s="412"/>
      <c r="G41" s="414"/>
      <c r="H41" s="414"/>
      <c r="I41" s="413"/>
      <c r="J41" s="1924"/>
      <c r="K41" s="412"/>
      <c r="L41" s="639" t="s">
        <v>1023</v>
      </c>
      <c r="M41" s="1392">
        <f>1*6</f>
        <v>6</v>
      </c>
      <c r="N41" s="1224" t="s">
        <v>138</v>
      </c>
      <c r="O41" s="1311">
        <v>400000</v>
      </c>
      <c r="P41" s="1231">
        <f>M41*O41</f>
        <v>2400000</v>
      </c>
    </row>
    <row r="42" spans="2:20" s="1889" customFormat="1" ht="12.95" customHeight="1" x14ac:dyDescent="0.2">
      <c r="B42" s="411"/>
      <c r="C42" s="412"/>
      <c r="D42" s="412"/>
      <c r="E42" s="418"/>
      <c r="F42" s="412"/>
      <c r="G42" s="414"/>
      <c r="H42" s="414"/>
      <c r="I42" s="413"/>
      <c r="J42" s="1924"/>
      <c r="K42" s="412"/>
      <c r="L42" s="640" t="s">
        <v>1024</v>
      </c>
      <c r="M42" s="1392">
        <f>1*6</f>
        <v>6</v>
      </c>
      <c r="N42" s="1224" t="s">
        <v>138</v>
      </c>
      <c r="O42" s="1311">
        <v>350000</v>
      </c>
      <c r="P42" s="1231">
        <f>M42*O42</f>
        <v>2100000</v>
      </c>
    </row>
    <row r="43" spans="2:20" s="1889" customFormat="1" ht="12.95" customHeight="1" x14ac:dyDescent="0.2">
      <c r="B43" s="411"/>
      <c r="C43" s="412"/>
      <c r="D43" s="412"/>
      <c r="E43" s="418"/>
      <c r="F43" s="412"/>
      <c r="G43" s="414"/>
      <c r="H43" s="414"/>
      <c r="I43" s="413"/>
      <c r="J43" s="1924"/>
      <c r="K43" s="412"/>
      <c r="L43" s="639" t="s">
        <v>1123</v>
      </c>
      <c r="M43" s="1392">
        <f>4*6</f>
        <v>24</v>
      </c>
      <c r="N43" s="1224" t="s">
        <v>138</v>
      </c>
      <c r="O43" s="1311">
        <v>250000</v>
      </c>
      <c r="P43" s="1231">
        <f>O43*M43</f>
        <v>6000000</v>
      </c>
    </row>
    <row r="44" spans="2:20" ht="12.95" customHeight="1" x14ac:dyDescent="0.2">
      <c r="B44" s="218"/>
      <c r="C44" s="219"/>
      <c r="D44" s="219"/>
      <c r="E44" s="236"/>
      <c r="F44" s="219"/>
      <c r="G44" s="221"/>
      <c r="H44" s="221"/>
      <c r="I44" s="221"/>
      <c r="J44" s="219"/>
      <c r="K44" s="219"/>
      <c r="L44" s="640"/>
      <c r="M44" s="1392"/>
      <c r="N44" s="1272"/>
      <c r="O44" s="1275"/>
      <c r="P44" s="1273"/>
    </row>
    <row r="45" spans="2:20" ht="12.95" customHeight="1" x14ac:dyDescent="0.2">
      <c r="B45" s="218">
        <v>1</v>
      </c>
      <c r="C45" s="219" t="s">
        <v>498</v>
      </c>
      <c r="D45" s="219" t="s">
        <v>142</v>
      </c>
      <c r="E45" s="227">
        <v>15</v>
      </c>
      <c r="F45" s="227" t="s">
        <v>142</v>
      </c>
      <c r="G45" s="222">
        <v>5</v>
      </c>
      <c r="H45" s="222">
        <v>2</v>
      </c>
      <c r="I45" s="221">
        <v>1</v>
      </c>
      <c r="J45" s="219" t="s">
        <v>145</v>
      </c>
      <c r="K45" s="219"/>
      <c r="L45" s="1660" t="s">
        <v>176</v>
      </c>
      <c r="M45" s="1392"/>
      <c r="N45" s="1272"/>
      <c r="O45" s="1275"/>
      <c r="P45" s="642">
        <f>P46</f>
        <v>1100000</v>
      </c>
      <c r="Q45" s="1223"/>
      <c r="R45" s="1277"/>
      <c r="T45" s="1278"/>
    </row>
    <row r="46" spans="2:20" ht="12.95" customHeight="1" x14ac:dyDescent="0.2">
      <c r="B46" s="218">
        <v>1</v>
      </c>
      <c r="C46" s="219" t="s">
        <v>498</v>
      </c>
      <c r="D46" s="219" t="s">
        <v>142</v>
      </c>
      <c r="E46" s="227">
        <v>15</v>
      </c>
      <c r="F46" s="227" t="s">
        <v>142</v>
      </c>
      <c r="G46" s="222">
        <v>5</v>
      </c>
      <c r="H46" s="222">
        <v>2</v>
      </c>
      <c r="I46" s="221">
        <v>1</v>
      </c>
      <c r="J46" s="219" t="s">
        <v>145</v>
      </c>
      <c r="K46" s="219" t="s">
        <v>164</v>
      </c>
      <c r="L46" s="640" t="s">
        <v>944</v>
      </c>
      <c r="M46" s="1392"/>
      <c r="N46" s="1272"/>
      <c r="O46" s="1275"/>
      <c r="P46" s="1273">
        <f>SUM(P47:P50)</f>
        <v>1100000</v>
      </c>
    </row>
    <row r="47" spans="2:20" ht="25.5" customHeight="1" x14ac:dyDescent="0.2">
      <c r="B47" s="218"/>
      <c r="C47" s="219"/>
      <c r="D47" s="219"/>
      <c r="E47" s="236"/>
      <c r="F47" s="219"/>
      <c r="G47" s="221"/>
      <c r="H47" s="221"/>
      <c r="I47" s="221"/>
      <c r="J47" s="219"/>
      <c r="K47" s="219"/>
      <c r="L47" s="639" t="s">
        <v>1126</v>
      </c>
      <c r="M47" s="1392">
        <v>1</v>
      </c>
      <c r="N47" s="1392" t="s">
        <v>300</v>
      </c>
      <c r="O47" s="1661">
        <v>300000</v>
      </c>
      <c r="P47" s="1662">
        <f>M47*O47</f>
        <v>300000</v>
      </c>
      <c r="R47" s="1312"/>
    </row>
    <row r="48" spans="2:20" ht="24" customHeight="1" x14ac:dyDescent="0.2">
      <c r="B48" s="218"/>
      <c r="C48" s="219"/>
      <c r="D48" s="219"/>
      <c r="E48" s="236"/>
      <c r="F48" s="219"/>
      <c r="G48" s="221"/>
      <c r="H48" s="221"/>
      <c r="I48" s="221"/>
      <c r="J48" s="219"/>
      <c r="K48" s="219"/>
      <c r="L48" s="639" t="s">
        <v>1125</v>
      </c>
      <c r="M48" s="1392">
        <v>1</v>
      </c>
      <c r="N48" s="1392" t="s">
        <v>300</v>
      </c>
      <c r="O48" s="1661">
        <v>300000</v>
      </c>
      <c r="P48" s="1662">
        <f>M48*O48</f>
        <v>300000</v>
      </c>
    </row>
    <row r="49" spans="2:18" ht="27.6" customHeight="1" x14ac:dyDescent="0.2">
      <c r="B49" s="218"/>
      <c r="C49" s="219"/>
      <c r="D49" s="219"/>
      <c r="E49" s="236"/>
      <c r="F49" s="219"/>
      <c r="G49" s="221"/>
      <c r="H49" s="221"/>
      <c r="I49" s="221"/>
      <c r="J49" s="219"/>
      <c r="K49" s="219"/>
      <c r="L49" s="639" t="s">
        <v>1124</v>
      </c>
      <c r="M49" s="1392">
        <v>1</v>
      </c>
      <c r="N49" s="1392" t="s">
        <v>300</v>
      </c>
      <c r="O49" s="1661">
        <v>300000</v>
      </c>
      <c r="P49" s="1662">
        <f>M49*O49</f>
        <v>300000</v>
      </c>
      <c r="R49" s="1283"/>
    </row>
    <row r="50" spans="2:18" ht="27.6" customHeight="1" x14ac:dyDescent="0.2">
      <c r="B50" s="218"/>
      <c r="C50" s="219"/>
      <c r="D50" s="219"/>
      <c r="E50" s="236"/>
      <c r="F50" s="219"/>
      <c r="G50" s="221"/>
      <c r="H50" s="221"/>
      <c r="I50" s="221"/>
      <c r="J50" s="219"/>
      <c r="K50" s="219"/>
      <c r="L50" s="639" t="s">
        <v>1127</v>
      </c>
      <c r="M50" s="1392">
        <v>2</v>
      </c>
      <c r="N50" s="1663" t="s">
        <v>300</v>
      </c>
      <c r="O50" s="1664">
        <v>100000</v>
      </c>
      <c r="P50" s="1665">
        <f>M50*O50</f>
        <v>200000</v>
      </c>
      <c r="R50" s="1283"/>
    </row>
    <row r="51" spans="2:18" ht="12.95" customHeight="1" x14ac:dyDescent="0.2">
      <c r="B51" s="218"/>
      <c r="C51" s="219"/>
      <c r="D51" s="219"/>
      <c r="E51" s="236"/>
      <c r="F51" s="219"/>
      <c r="G51" s="221"/>
      <c r="H51" s="221"/>
      <c r="I51" s="221"/>
      <c r="J51" s="219"/>
      <c r="K51" s="219"/>
      <c r="L51" s="1666"/>
      <c r="M51" s="1392"/>
      <c r="N51" s="1663"/>
      <c r="O51" s="1667"/>
      <c r="P51" s="1668"/>
    </row>
    <row r="52" spans="2:18" ht="12.95" customHeight="1" x14ac:dyDescent="0.2">
      <c r="B52" s="218">
        <v>1</v>
      </c>
      <c r="C52" s="219" t="s">
        <v>498</v>
      </c>
      <c r="D52" s="219" t="s">
        <v>142</v>
      </c>
      <c r="E52" s="227">
        <v>15</v>
      </c>
      <c r="F52" s="227" t="s">
        <v>142</v>
      </c>
      <c r="G52" s="221">
        <v>5</v>
      </c>
      <c r="H52" s="221">
        <v>2</v>
      </c>
      <c r="I52" s="221">
        <v>2</v>
      </c>
      <c r="J52" s="219"/>
      <c r="K52" s="219"/>
      <c r="L52" s="444" t="s">
        <v>120</v>
      </c>
      <c r="M52" s="1669"/>
      <c r="N52" s="1670"/>
      <c r="O52" s="1671"/>
      <c r="P52" s="1672">
        <f>SUM(P53+P65+P74)</f>
        <v>16183930</v>
      </c>
    </row>
    <row r="53" spans="2:18" ht="12.95" customHeight="1" x14ac:dyDescent="0.2">
      <c r="B53" s="218">
        <v>1</v>
      </c>
      <c r="C53" s="219" t="s">
        <v>498</v>
      </c>
      <c r="D53" s="219" t="s">
        <v>142</v>
      </c>
      <c r="E53" s="227">
        <v>15</v>
      </c>
      <c r="F53" s="227" t="s">
        <v>142</v>
      </c>
      <c r="G53" s="222">
        <v>5</v>
      </c>
      <c r="H53" s="222">
        <v>2</v>
      </c>
      <c r="I53" s="222">
        <v>2</v>
      </c>
      <c r="J53" s="227" t="s">
        <v>142</v>
      </c>
      <c r="K53" s="221"/>
      <c r="L53" s="242" t="s">
        <v>109</v>
      </c>
      <c r="M53" s="1406"/>
      <c r="N53" s="1279"/>
      <c r="O53" s="1280"/>
      <c r="P53" s="1673">
        <f>P54</f>
        <v>643930</v>
      </c>
      <c r="R53" s="1223"/>
    </row>
    <row r="54" spans="2:18" ht="12.95" customHeight="1" x14ac:dyDescent="0.2">
      <c r="B54" s="218">
        <v>1</v>
      </c>
      <c r="C54" s="219" t="s">
        <v>498</v>
      </c>
      <c r="D54" s="219" t="s">
        <v>142</v>
      </c>
      <c r="E54" s="227">
        <v>15</v>
      </c>
      <c r="F54" s="227" t="s">
        <v>142</v>
      </c>
      <c r="G54" s="222">
        <v>5</v>
      </c>
      <c r="H54" s="222">
        <v>2</v>
      </c>
      <c r="I54" s="222">
        <v>2</v>
      </c>
      <c r="J54" s="227" t="s">
        <v>142</v>
      </c>
      <c r="K54" s="227" t="s">
        <v>142</v>
      </c>
      <c r="L54" s="243" t="s">
        <v>127</v>
      </c>
      <c r="M54" s="1406"/>
      <c r="N54" s="1272"/>
      <c r="O54" s="1276"/>
      <c r="P54" s="1674">
        <f>SUM(P55:P63)</f>
        <v>643930</v>
      </c>
      <c r="R54" s="1223"/>
    </row>
    <row r="55" spans="2:18" ht="12.95" customHeight="1" x14ac:dyDescent="0.2">
      <c r="B55" s="218"/>
      <c r="C55" s="219"/>
      <c r="D55" s="219"/>
      <c r="E55" s="236"/>
      <c r="F55" s="236"/>
      <c r="G55" s="221"/>
      <c r="H55" s="221"/>
      <c r="I55" s="221"/>
      <c r="J55" s="236"/>
      <c r="K55" s="236"/>
      <c r="L55" s="1965" t="s">
        <v>1128</v>
      </c>
      <c r="M55" s="1967">
        <v>3</v>
      </c>
      <c r="N55" s="1968" t="s">
        <v>148</v>
      </c>
      <c r="O55" s="1969">
        <v>65000</v>
      </c>
      <c r="P55" s="1969">
        <f>O55*M55</f>
        <v>195000</v>
      </c>
      <c r="R55" s="1223"/>
    </row>
    <row r="56" spans="2:18" ht="12.95" customHeight="1" x14ac:dyDescent="0.2">
      <c r="B56" s="218"/>
      <c r="C56" s="219"/>
      <c r="D56" s="219"/>
      <c r="E56" s="236"/>
      <c r="F56" s="236"/>
      <c r="G56" s="221"/>
      <c r="H56" s="221"/>
      <c r="I56" s="221"/>
      <c r="J56" s="236"/>
      <c r="K56" s="236"/>
      <c r="L56" s="1965" t="s">
        <v>997</v>
      </c>
      <c r="M56" s="1923">
        <v>3</v>
      </c>
      <c r="N56" s="1360" t="s">
        <v>148</v>
      </c>
      <c r="O56" s="1359">
        <v>60000</v>
      </c>
      <c r="P56" s="1359">
        <f>O56*M56</f>
        <v>180000</v>
      </c>
      <c r="R56" s="1223"/>
    </row>
    <row r="57" spans="2:18" ht="12.95" customHeight="1" x14ac:dyDescent="0.2">
      <c r="B57" s="218"/>
      <c r="C57" s="219"/>
      <c r="D57" s="219"/>
      <c r="E57" s="236"/>
      <c r="F57" s="236"/>
      <c r="G57" s="221"/>
      <c r="H57" s="221"/>
      <c r="I57" s="221"/>
      <c r="J57" s="236"/>
      <c r="K57" s="236"/>
      <c r="L57" s="1965" t="s">
        <v>1129</v>
      </c>
      <c r="M57" s="1923">
        <v>1</v>
      </c>
      <c r="N57" s="1360" t="s">
        <v>495</v>
      </c>
      <c r="O57" s="1359">
        <v>20000</v>
      </c>
      <c r="P57" s="1359">
        <f>O57*M57</f>
        <v>20000</v>
      </c>
      <c r="R57" s="1223"/>
    </row>
    <row r="58" spans="2:18" ht="12.95" customHeight="1" x14ac:dyDescent="0.2">
      <c r="B58" s="218"/>
      <c r="C58" s="219"/>
      <c r="D58" s="219"/>
      <c r="E58" s="236"/>
      <c r="F58" s="236"/>
      <c r="G58" s="221"/>
      <c r="H58" s="221"/>
      <c r="I58" s="221"/>
      <c r="J58" s="236"/>
      <c r="K58" s="236"/>
      <c r="L58" s="1965" t="s">
        <v>1130</v>
      </c>
      <c r="M58" s="1923">
        <v>1</v>
      </c>
      <c r="N58" s="1360" t="s">
        <v>582</v>
      </c>
      <c r="O58" s="1359">
        <v>43000</v>
      </c>
      <c r="P58" s="1359">
        <f>O58*M58</f>
        <v>43000</v>
      </c>
      <c r="R58" s="1223"/>
    </row>
    <row r="59" spans="2:18" ht="12.95" customHeight="1" x14ac:dyDescent="0.2">
      <c r="B59" s="218"/>
      <c r="C59" s="219"/>
      <c r="D59" s="219"/>
      <c r="E59" s="236"/>
      <c r="F59" s="219"/>
      <c r="G59" s="221"/>
      <c r="H59" s="221"/>
      <c r="I59" s="221"/>
      <c r="J59" s="219"/>
      <c r="K59" s="219"/>
      <c r="L59" s="1965" t="s">
        <v>660</v>
      </c>
      <c r="M59" s="1923">
        <v>1</v>
      </c>
      <c r="N59" s="1360" t="s">
        <v>496</v>
      </c>
      <c r="O59" s="1359">
        <v>32000</v>
      </c>
      <c r="P59" s="1359">
        <f t="shared" ref="P59:P63" si="0">O59*M59</f>
        <v>32000</v>
      </c>
      <c r="R59" s="1223"/>
    </row>
    <row r="60" spans="2:18" ht="12.95" customHeight="1" x14ac:dyDescent="0.2">
      <c r="B60" s="218"/>
      <c r="C60" s="219"/>
      <c r="D60" s="219"/>
      <c r="E60" s="236"/>
      <c r="F60" s="219"/>
      <c r="G60" s="221"/>
      <c r="H60" s="221"/>
      <c r="I60" s="221"/>
      <c r="J60" s="219"/>
      <c r="K60" s="219"/>
      <c r="L60" s="1965" t="s">
        <v>1131</v>
      </c>
      <c r="M60" s="1923">
        <v>2</v>
      </c>
      <c r="N60" s="1360" t="s">
        <v>582</v>
      </c>
      <c r="O60" s="1359">
        <v>26000</v>
      </c>
      <c r="P60" s="1359">
        <f t="shared" si="0"/>
        <v>52000</v>
      </c>
      <c r="R60" s="1223"/>
    </row>
    <row r="61" spans="2:18" ht="12.95" customHeight="1" x14ac:dyDescent="0.2">
      <c r="B61" s="218"/>
      <c r="C61" s="219"/>
      <c r="D61" s="219"/>
      <c r="E61" s="227"/>
      <c r="F61" s="227"/>
      <c r="G61" s="222"/>
      <c r="H61" s="222"/>
      <c r="I61" s="222"/>
      <c r="J61" s="219"/>
      <c r="K61" s="221"/>
      <c r="L61" s="1965" t="s">
        <v>1132</v>
      </c>
      <c r="M61" s="1970">
        <v>1</v>
      </c>
      <c r="N61" s="1971" t="s">
        <v>496</v>
      </c>
      <c r="O61" s="1972">
        <v>77000</v>
      </c>
      <c r="P61" s="1972">
        <f t="shared" si="0"/>
        <v>77000</v>
      </c>
    </row>
    <row r="62" spans="2:18" ht="12.95" customHeight="1" x14ac:dyDescent="0.2">
      <c r="B62" s="218"/>
      <c r="C62" s="219"/>
      <c r="D62" s="219"/>
      <c r="E62" s="227"/>
      <c r="F62" s="227"/>
      <c r="G62" s="222"/>
      <c r="H62" s="222"/>
      <c r="I62" s="222"/>
      <c r="J62" s="219"/>
      <c r="K62" s="219"/>
      <c r="L62" s="1965" t="s">
        <v>1133</v>
      </c>
      <c r="M62" s="1406">
        <v>1</v>
      </c>
      <c r="N62" s="1271" t="s">
        <v>496</v>
      </c>
      <c r="O62" s="1274">
        <v>12930</v>
      </c>
      <c r="P62" s="1674">
        <f t="shared" si="0"/>
        <v>12930</v>
      </c>
    </row>
    <row r="63" spans="2:18" ht="12.95" customHeight="1" x14ac:dyDescent="0.2">
      <c r="B63" s="218"/>
      <c r="C63" s="219"/>
      <c r="D63" s="219"/>
      <c r="E63" s="236"/>
      <c r="F63" s="236"/>
      <c r="G63" s="221"/>
      <c r="H63" s="221"/>
      <c r="I63" s="221"/>
      <c r="J63" s="219"/>
      <c r="K63" s="219"/>
      <c r="L63" s="1965" t="s">
        <v>1134</v>
      </c>
      <c r="M63" s="1406">
        <v>1</v>
      </c>
      <c r="N63" s="1271" t="s">
        <v>582</v>
      </c>
      <c r="O63" s="1274">
        <v>32000</v>
      </c>
      <c r="P63" s="1674">
        <f t="shared" si="0"/>
        <v>32000</v>
      </c>
    </row>
    <row r="64" spans="2:18" ht="12.95" customHeight="1" x14ac:dyDescent="0.2">
      <c r="B64" s="218"/>
      <c r="C64" s="219"/>
      <c r="D64" s="219"/>
      <c r="E64" s="236"/>
      <c r="F64" s="236"/>
      <c r="G64" s="221"/>
      <c r="H64" s="221"/>
      <c r="I64" s="221"/>
      <c r="J64" s="219"/>
      <c r="K64" s="219"/>
      <c r="L64" s="1966"/>
      <c r="M64" s="1406"/>
      <c r="N64" s="1271"/>
      <c r="O64" s="1274"/>
      <c r="P64" s="1674"/>
    </row>
    <row r="65" spans="2:23" ht="12.95" customHeight="1" x14ac:dyDescent="0.2">
      <c r="B65" s="218">
        <v>1</v>
      </c>
      <c r="C65" s="219" t="s">
        <v>498</v>
      </c>
      <c r="D65" s="219" t="s">
        <v>142</v>
      </c>
      <c r="E65" s="227">
        <v>15</v>
      </c>
      <c r="F65" s="227" t="s">
        <v>142</v>
      </c>
      <c r="G65" s="221">
        <v>5</v>
      </c>
      <c r="H65" s="221">
        <v>2</v>
      </c>
      <c r="I65" s="221">
        <v>2</v>
      </c>
      <c r="J65" s="227" t="s">
        <v>164</v>
      </c>
      <c r="K65" s="219"/>
      <c r="L65" s="1675" t="s">
        <v>112</v>
      </c>
      <c r="M65" s="1406"/>
      <c r="N65" s="1271"/>
      <c r="O65" s="1274"/>
      <c r="P65" s="1673">
        <f>P69+P66</f>
        <v>13440000</v>
      </c>
    </row>
    <row r="66" spans="2:23" ht="12.95" customHeight="1" x14ac:dyDescent="0.2">
      <c r="B66" s="218">
        <v>1</v>
      </c>
      <c r="C66" s="219" t="s">
        <v>498</v>
      </c>
      <c r="D66" s="219" t="s">
        <v>142</v>
      </c>
      <c r="E66" s="227">
        <v>15</v>
      </c>
      <c r="F66" s="227" t="s">
        <v>142</v>
      </c>
      <c r="G66" s="221">
        <v>5</v>
      </c>
      <c r="H66" s="221">
        <v>2</v>
      </c>
      <c r="I66" s="221">
        <v>2</v>
      </c>
      <c r="J66" s="227" t="s">
        <v>164</v>
      </c>
      <c r="K66" s="1424">
        <v>12</v>
      </c>
      <c r="L66" s="1514" t="s">
        <v>240</v>
      </c>
      <c r="M66" s="1434"/>
      <c r="N66" s="1515"/>
      <c r="O66" s="1516"/>
      <c r="P66" s="1517">
        <f>SUM(P67)</f>
        <v>800000</v>
      </c>
    </row>
    <row r="67" spans="2:23" ht="12.95" customHeight="1" x14ac:dyDescent="0.2">
      <c r="B67" s="528"/>
      <c r="C67" s="531"/>
      <c r="D67" s="531"/>
      <c r="E67" s="531"/>
      <c r="F67" s="531"/>
      <c r="G67" s="531"/>
      <c r="H67" s="531"/>
      <c r="I67" s="552"/>
      <c r="J67" s="552"/>
      <c r="K67" s="529"/>
      <c r="L67" s="326" t="s">
        <v>1135</v>
      </c>
      <c r="M67" s="1343">
        <v>1</v>
      </c>
      <c r="N67" s="1973" t="s">
        <v>300</v>
      </c>
      <c r="O67" s="1974">
        <v>800000</v>
      </c>
      <c r="P67" s="1975">
        <f>O67*M67</f>
        <v>800000</v>
      </c>
    </row>
    <row r="68" spans="2:23" ht="12.95" customHeight="1" x14ac:dyDescent="0.2">
      <c r="B68" s="528"/>
      <c r="C68" s="531"/>
      <c r="D68" s="531"/>
      <c r="E68" s="531"/>
      <c r="F68" s="531"/>
      <c r="G68" s="531"/>
      <c r="H68" s="531"/>
      <c r="I68" s="552"/>
      <c r="J68" s="552"/>
      <c r="K68" s="529"/>
      <c r="L68" s="553"/>
      <c r="M68" s="1443"/>
      <c r="N68" s="1360"/>
      <c r="O68" s="1468"/>
      <c r="P68" s="1361"/>
    </row>
    <row r="69" spans="2:23" ht="12.95" customHeight="1" x14ac:dyDescent="0.2">
      <c r="B69" s="218">
        <v>1</v>
      </c>
      <c r="C69" s="219" t="s">
        <v>498</v>
      </c>
      <c r="D69" s="219" t="s">
        <v>142</v>
      </c>
      <c r="E69" s="227">
        <v>15</v>
      </c>
      <c r="F69" s="227" t="s">
        <v>142</v>
      </c>
      <c r="G69" s="221">
        <v>5</v>
      </c>
      <c r="H69" s="221">
        <v>2</v>
      </c>
      <c r="I69" s="221">
        <v>2</v>
      </c>
      <c r="J69" s="227" t="s">
        <v>164</v>
      </c>
      <c r="K69" s="219">
        <v>27</v>
      </c>
      <c r="L69" s="326" t="s">
        <v>587</v>
      </c>
      <c r="M69" s="1676"/>
      <c r="N69" s="1676"/>
      <c r="P69" s="1674">
        <f>SUM(P70:P72)</f>
        <v>12640000</v>
      </c>
    </row>
    <row r="70" spans="2:23" ht="12.6" customHeight="1" x14ac:dyDescent="0.2">
      <c r="B70" s="218"/>
      <c r="C70" s="219"/>
      <c r="D70" s="219"/>
      <c r="E70" s="236"/>
      <c r="F70" s="236"/>
      <c r="G70" s="221"/>
      <c r="H70" s="221"/>
      <c r="I70" s="221"/>
      <c r="J70" s="219"/>
      <c r="K70" s="219"/>
      <c r="L70" s="1731" t="s">
        <v>1136</v>
      </c>
      <c r="M70" s="1391">
        <f>1*1*4</f>
        <v>4</v>
      </c>
      <c r="N70" s="1406" t="s">
        <v>575</v>
      </c>
      <c r="O70" s="1976">
        <v>500000</v>
      </c>
      <c r="P70" s="1977">
        <f>M70*O70</f>
        <v>2000000</v>
      </c>
    </row>
    <row r="71" spans="2:23" ht="12.6" customHeight="1" x14ac:dyDescent="0.2">
      <c r="B71" s="218"/>
      <c r="C71" s="219"/>
      <c r="D71" s="219"/>
      <c r="E71" s="236"/>
      <c r="F71" s="236"/>
      <c r="G71" s="221"/>
      <c r="H71" s="221"/>
      <c r="I71" s="221"/>
      <c r="J71" s="219"/>
      <c r="K71" s="219"/>
      <c r="L71" s="1978" t="s">
        <v>1137</v>
      </c>
      <c r="M71" s="1391">
        <f>1*1*4</f>
        <v>4</v>
      </c>
      <c r="N71" s="1391" t="s">
        <v>575</v>
      </c>
      <c r="O71" s="1979">
        <v>35000</v>
      </c>
      <c r="P71" s="1980">
        <f>M71*O71</f>
        <v>140000</v>
      </c>
    </row>
    <row r="72" spans="2:23" ht="12.6" customHeight="1" x14ac:dyDescent="0.2">
      <c r="B72" s="218"/>
      <c r="C72" s="219"/>
      <c r="D72" s="219"/>
      <c r="E72" s="236"/>
      <c r="F72" s="236"/>
      <c r="G72" s="221"/>
      <c r="H72" s="221"/>
      <c r="I72" s="221"/>
      <c r="J72" s="219"/>
      <c r="K72" s="219"/>
      <c r="L72" s="326" t="s">
        <v>1138</v>
      </c>
      <c r="M72" s="1406">
        <v>1</v>
      </c>
      <c r="N72" s="1406" t="s">
        <v>994</v>
      </c>
      <c r="O72" s="1976">
        <v>10500000</v>
      </c>
      <c r="P72" s="1674">
        <f>M72*O72</f>
        <v>10500000</v>
      </c>
    </row>
    <row r="73" spans="2:23" ht="12.95" customHeight="1" x14ac:dyDescent="0.2">
      <c r="B73" s="218"/>
      <c r="C73" s="219"/>
      <c r="D73" s="219"/>
      <c r="E73" s="236"/>
      <c r="F73" s="236"/>
      <c r="G73" s="221"/>
      <c r="H73" s="221"/>
      <c r="I73" s="221"/>
      <c r="J73" s="219"/>
      <c r="K73" s="219"/>
      <c r="L73" s="326"/>
      <c r="M73" s="1406"/>
      <c r="N73" s="1271"/>
      <c r="O73" s="1274"/>
      <c r="P73" s="1674"/>
    </row>
    <row r="74" spans="2:23" ht="12.95" customHeight="1" x14ac:dyDescent="0.2">
      <c r="B74" s="218">
        <v>1</v>
      </c>
      <c r="C74" s="219" t="s">
        <v>498</v>
      </c>
      <c r="D74" s="219" t="s">
        <v>142</v>
      </c>
      <c r="E74" s="227">
        <v>15</v>
      </c>
      <c r="F74" s="227" t="s">
        <v>142</v>
      </c>
      <c r="G74" s="221">
        <v>5</v>
      </c>
      <c r="H74" s="221">
        <v>2</v>
      </c>
      <c r="I74" s="221">
        <v>2</v>
      </c>
      <c r="J74" s="227">
        <v>11</v>
      </c>
      <c r="K74" s="227"/>
      <c r="L74" s="1675" t="s">
        <v>295</v>
      </c>
      <c r="M74" s="1406"/>
      <c r="N74" s="1271"/>
      <c r="O74" s="1274"/>
      <c r="P74" s="1673">
        <f>P75</f>
        <v>2100000</v>
      </c>
      <c r="Q74" s="1281"/>
      <c r="R74" s="311"/>
      <c r="S74" s="1186"/>
      <c r="T74" s="1187"/>
      <c r="U74" s="1187"/>
      <c r="V74" s="1188"/>
      <c r="W74" s="1188"/>
    </row>
    <row r="75" spans="2:23" ht="12.95" customHeight="1" x14ac:dyDescent="0.2">
      <c r="B75" s="218">
        <v>1</v>
      </c>
      <c r="C75" s="219" t="s">
        <v>498</v>
      </c>
      <c r="D75" s="219" t="s">
        <v>142</v>
      </c>
      <c r="E75" s="227">
        <v>15</v>
      </c>
      <c r="F75" s="227" t="s">
        <v>142</v>
      </c>
      <c r="G75" s="221">
        <v>5</v>
      </c>
      <c r="H75" s="221">
        <v>2</v>
      </c>
      <c r="I75" s="221">
        <v>2</v>
      </c>
      <c r="J75" s="227">
        <v>11</v>
      </c>
      <c r="K75" s="227" t="s">
        <v>145</v>
      </c>
      <c r="L75" s="326" t="s">
        <v>945</v>
      </c>
      <c r="M75" s="1406"/>
      <c r="N75" s="1271"/>
      <c r="O75" s="1274"/>
      <c r="P75" s="1677">
        <f>P76+P77</f>
        <v>2100000</v>
      </c>
      <c r="Q75" s="1281"/>
      <c r="R75" s="311"/>
      <c r="S75" s="1186"/>
      <c r="T75" s="1187"/>
      <c r="U75" s="1187"/>
      <c r="V75" s="1188"/>
      <c r="W75" s="1188"/>
    </row>
    <row r="76" spans="2:23" ht="12.95" customHeight="1" x14ac:dyDescent="0.2">
      <c r="B76" s="218"/>
      <c r="C76" s="219"/>
      <c r="D76" s="219"/>
      <c r="E76" s="236"/>
      <c r="F76" s="236"/>
      <c r="G76" s="221"/>
      <c r="H76" s="221"/>
      <c r="I76" s="221"/>
      <c r="J76" s="219"/>
      <c r="K76" s="219"/>
      <c r="L76" s="326" t="s">
        <v>1139</v>
      </c>
      <c r="M76" s="1406">
        <f>1*70</f>
        <v>70</v>
      </c>
      <c r="N76" s="1271" t="s">
        <v>300</v>
      </c>
      <c r="O76" s="1274">
        <v>15000</v>
      </c>
      <c r="P76" s="1678">
        <f>M76*O76</f>
        <v>1050000</v>
      </c>
      <c r="Q76" s="1281"/>
      <c r="R76" s="311"/>
      <c r="S76" s="1186"/>
      <c r="T76" s="1187"/>
      <c r="U76" s="1187"/>
      <c r="V76" s="1188"/>
      <c r="W76" s="1188"/>
    </row>
    <row r="77" spans="2:23" ht="12.95" customHeight="1" x14ac:dyDescent="0.2">
      <c r="B77" s="218"/>
      <c r="C77" s="219"/>
      <c r="D77" s="219"/>
      <c r="E77" s="236"/>
      <c r="F77" s="236"/>
      <c r="G77" s="221"/>
      <c r="H77" s="221"/>
      <c r="I77" s="221"/>
      <c r="J77" s="219"/>
      <c r="K77" s="219"/>
      <c r="L77" s="326" t="s">
        <v>1140</v>
      </c>
      <c r="M77" s="1406">
        <f>1*2*70</f>
        <v>140</v>
      </c>
      <c r="N77" s="1271" t="s">
        <v>300</v>
      </c>
      <c r="O77" s="1274">
        <v>7500</v>
      </c>
      <c r="P77" s="1679">
        <f>O77*M77</f>
        <v>1050000</v>
      </c>
      <c r="Q77" s="1281"/>
      <c r="R77" s="311"/>
      <c r="S77" s="1186"/>
      <c r="T77" s="1187"/>
      <c r="U77" s="1187"/>
      <c r="V77" s="1188"/>
      <c r="W77" s="1188"/>
    </row>
    <row r="78" spans="2:23" ht="12.95" customHeight="1" thickBot="1" x14ac:dyDescent="0.25">
      <c r="B78" s="245"/>
      <c r="C78" s="248"/>
      <c r="D78" s="248"/>
      <c r="E78" s="248"/>
      <c r="F78" s="248"/>
      <c r="G78" s="248"/>
      <c r="H78" s="327"/>
      <c r="I78" s="328"/>
      <c r="J78" s="329"/>
      <c r="K78" s="246"/>
      <c r="L78" s="249"/>
      <c r="M78" s="1406"/>
      <c r="N78" s="1271"/>
      <c r="O78" s="1292"/>
      <c r="P78" s="1680"/>
    </row>
    <row r="79" spans="2:23" ht="12.95" customHeight="1" thickBot="1" x14ac:dyDescent="0.25">
      <c r="B79" s="110"/>
      <c r="C79" s="107"/>
      <c r="D79" s="107"/>
      <c r="E79" s="107"/>
      <c r="F79" s="107"/>
      <c r="G79" s="107"/>
      <c r="H79" s="107"/>
      <c r="I79" s="107"/>
      <c r="J79" s="107"/>
      <c r="K79" s="107"/>
      <c r="L79" s="107"/>
      <c r="M79" s="2620" t="s">
        <v>199</v>
      </c>
      <c r="N79" s="2620"/>
      <c r="O79" s="2621"/>
      <c r="P79" s="1491">
        <f>P29</f>
        <v>32283930</v>
      </c>
    </row>
    <row r="80" spans="2:23" ht="12.95" customHeight="1" x14ac:dyDescent="0.2">
      <c r="B80" s="1211"/>
      <c r="C80" s="1212"/>
      <c r="D80" s="1212"/>
      <c r="E80" s="1212"/>
      <c r="F80" s="1212"/>
      <c r="G80" s="1212"/>
      <c r="H80" s="1212"/>
      <c r="I80" s="1212"/>
      <c r="J80" s="1212"/>
      <c r="K80" s="1212"/>
      <c r="L80" s="1212"/>
      <c r="M80" s="1212"/>
      <c r="N80" s="1212"/>
      <c r="O80" s="1212"/>
      <c r="P80" s="1213"/>
    </row>
    <row r="81" spans="2:20" ht="12.95" customHeight="1" x14ac:dyDescent="0.2">
      <c r="B81" s="1294"/>
      <c r="C81" s="1295"/>
      <c r="D81" s="1295"/>
      <c r="E81" s="1295"/>
      <c r="F81" s="1295"/>
      <c r="G81" s="1295"/>
      <c r="H81" s="1295"/>
      <c r="I81" s="1295"/>
      <c r="J81" s="1295"/>
      <c r="K81" s="1295"/>
      <c r="L81" s="1296"/>
      <c r="M81" s="2694" t="str">
        <f>'RECAP APBD'!E43</f>
        <v>Banda Aceh,                   2020</v>
      </c>
      <c r="N81" s="2694"/>
      <c r="O81" s="2694"/>
      <c r="P81" s="2695"/>
    </row>
    <row r="82" spans="2:20" ht="12.95" customHeight="1" x14ac:dyDescent="0.2">
      <c r="B82" s="1294"/>
      <c r="C82" s="1295"/>
      <c r="D82" s="1295"/>
      <c r="E82" s="1295"/>
      <c r="F82" s="1295"/>
      <c r="G82" s="1295"/>
      <c r="H82" s="1295"/>
      <c r="I82" s="1295"/>
      <c r="J82" s="1295"/>
      <c r="K82" s="1295"/>
      <c r="L82" s="1295"/>
      <c r="M82" s="2683" t="str">
        <f>'RECAP APBD'!E44</f>
        <v>Pengguna Anggaran</v>
      </c>
      <c r="N82" s="2683"/>
      <c r="O82" s="2683"/>
      <c r="P82" s="2696"/>
    </row>
    <row r="83" spans="2:20" ht="12.95" customHeight="1" x14ac:dyDescent="0.2">
      <c r="B83" s="1294"/>
      <c r="C83" s="1295"/>
      <c r="D83" s="1295"/>
      <c r="E83" s="1295"/>
      <c r="F83" s="1295"/>
      <c r="G83" s="1295"/>
      <c r="H83" s="1295"/>
      <c r="I83" s="1295"/>
      <c r="J83" s="1295"/>
      <c r="K83" s="1295"/>
      <c r="L83" s="1295"/>
      <c r="M83" s="2683" t="str">
        <f>'RECAP APBD'!E45</f>
        <v>Satuan Kerja Perangkat Daerah</v>
      </c>
      <c r="N83" s="2683"/>
      <c r="O83" s="2683"/>
      <c r="P83" s="2696"/>
    </row>
    <row r="84" spans="2:20" ht="12.95" customHeight="1" x14ac:dyDescent="0.2">
      <c r="B84" s="1294"/>
      <c r="C84" s="1295"/>
      <c r="D84" s="1295"/>
      <c r="E84" s="1295"/>
      <c r="F84" s="1295"/>
      <c r="G84" s="1295"/>
      <c r="H84" s="1295"/>
      <c r="I84" s="1295"/>
      <c r="J84" s="1295"/>
      <c r="K84" s="1295"/>
      <c r="L84" s="1297"/>
      <c r="M84" s="1650"/>
      <c r="N84" s="2671"/>
      <c r="O84" s="2671"/>
      <c r="P84" s="2672"/>
    </row>
    <row r="85" spans="2:20" ht="12.95" customHeight="1" x14ac:dyDescent="0.2">
      <c r="B85" s="1294"/>
      <c r="C85" s="1295"/>
      <c r="D85" s="1295"/>
      <c r="E85" s="1295"/>
      <c r="F85" s="1295"/>
      <c r="G85" s="1295"/>
      <c r="H85" s="1295"/>
      <c r="I85" s="1295"/>
      <c r="J85" s="1295"/>
      <c r="K85" s="1295"/>
      <c r="L85" s="1298"/>
      <c r="M85" s="1650"/>
      <c r="N85" s="2671"/>
      <c r="O85" s="2671"/>
      <c r="P85" s="2672"/>
    </row>
    <row r="86" spans="2:20" ht="12.95" customHeight="1" x14ac:dyDescent="0.2">
      <c r="B86" s="1294"/>
      <c r="C86" s="1295"/>
      <c r="D86" s="1295"/>
      <c r="E86" s="1295"/>
      <c r="F86" s="1295"/>
      <c r="G86" s="1295"/>
      <c r="H86" s="1295"/>
      <c r="I86" s="1295"/>
      <c r="J86" s="1295"/>
      <c r="K86" s="1295"/>
      <c r="L86" s="1299"/>
      <c r="M86" s="2697" t="str">
        <f>'BAJU PDH'!M49</f>
        <v>Bustami, SH</v>
      </c>
      <c r="N86" s="2697"/>
      <c r="O86" s="2697"/>
      <c r="P86" s="2698"/>
    </row>
    <row r="87" spans="2:20" ht="12.95" customHeight="1" x14ac:dyDescent="0.2">
      <c r="B87" s="1300"/>
      <c r="C87" s="1301"/>
      <c r="D87" s="1301"/>
      <c r="E87" s="1301"/>
      <c r="F87" s="1301"/>
      <c r="G87" s="1301"/>
      <c r="H87" s="1301"/>
      <c r="I87" s="1301"/>
      <c r="J87" s="1301"/>
      <c r="K87" s="1301"/>
      <c r="L87" s="1301"/>
      <c r="M87" s="2573" t="str">
        <f>'RECAP APBD'!E49</f>
        <v>Pembina Utama Muda / Nip. 19630824 198703 1 004</v>
      </c>
      <c r="N87" s="2573"/>
      <c r="O87" s="2573"/>
      <c r="P87" s="2574"/>
      <c r="Q87" s="1302"/>
      <c r="R87" s="1303"/>
      <c r="S87" s="1648"/>
      <c r="T87" s="1304"/>
    </row>
    <row r="88" spans="2:20" ht="12.95" customHeight="1" x14ac:dyDescent="0.2">
      <c r="B88" s="2501" t="s">
        <v>140</v>
      </c>
      <c r="C88" s="2502"/>
      <c r="D88" s="2502"/>
      <c r="E88" s="2502"/>
      <c r="F88" s="2502"/>
      <c r="G88" s="2502"/>
      <c r="H88" s="2502"/>
      <c r="I88" s="2502"/>
      <c r="J88" s="2502"/>
      <c r="K88" s="2502"/>
      <c r="L88" s="2502"/>
      <c r="M88" s="2513"/>
      <c r="N88" s="2513"/>
      <c r="O88" s="2513"/>
      <c r="P88" s="2514"/>
      <c r="Q88" s="1302"/>
      <c r="R88" s="1303"/>
      <c r="S88" s="1297"/>
      <c r="T88" s="1304"/>
    </row>
    <row r="89" spans="2:20" ht="12.95" customHeight="1" x14ac:dyDescent="0.2">
      <c r="B89" s="2501" t="s">
        <v>22</v>
      </c>
      <c r="C89" s="2502"/>
      <c r="D89" s="2502"/>
      <c r="E89" s="2502"/>
      <c r="F89" s="2502"/>
      <c r="G89" s="2502"/>
      <c r="H89" s="2502"/>
      <c r="I89" s="2502"/>
      <c r="J89" s="2502"/>
      <c r="K89" s="2502"/>
      <c r="L89" s="2502"/>
      <c r="M89" s="251"/>
      <c r="N89" s="2508"/>
      <c r="O89" s="2508"/>
      <c r="P89" s="2509"/>
      <c r="Q89" s="1302"/>
      <c r="R89" s="1303"/>
      <c r="S89" s="1297"/>
      <c r="T89" s="1304"/>
    </row>
    <row r="90" spans="2:20" ht="12.95" customHeight="1" x14ac:dyDescent="0.2">
      <c r="B90" s="2501" t="s">
        <v>21</v>
      </c>
      <c r="C90" s="2502"/>
      <c r="D90" s="2502"/>
      <c r="E90" s="2502"/>
      <c r="F90" s="2502"/>
      <c r="G90" s="2502"/>
      <c r="H90" s="2502"/>
      <c r="I90" s="2502"/>
      <c r="J90" s="2502"/>
      <c r="K90" s="2502"/>
      <c r="L90" s="2502"/>
      <c r="M90" s="251"/>
      <c r="N90" s="2503"/>
      <c r="O90" s="2503"/>
      <c r="P90" s="2504"/>
      <c r="Q90" s="1305"/>
      <c r="R90" s="1306"/>
      <c r="S90" s="1297"/>
      <c r="T90" s="1304"/>
    </row>
    <row r="91" spans="2:20" ht="12.95" customHeight="1" x14ac:dyDescent="0.2">
      <c r="B91" s="2501" t="s">
        <v>204</v>
      </c>
      <c r="C91" s="2502"/>
      <c r="D91" s="2502"/>
      <c r="E91" s="2502"/>
      <c r="F91" s="2502"/>
      <c r="G91" s="2502"/>
      <c r="H91" s="2502"/>
      <c r="I91" s="2502"/>
      <c r="J91" s="2502"/>
      <c r="K91" s="2502"/>
      <c r="L91" s="2502"/>
      <c r="M91" s="2502"/>
      <c r="N91" s="2502"/>
      <c r="O91" s="2502"/>
      <c r="P91" s="2505"/>
      <c r="Q91" s="1305"/>
      <c r="R91" s="1306"/>
      <c r="S91" s="1297"/>
      <c r="T91" s="1304"/>
    </row>
    <row r="92" spans="2:20" ht="12.95" customHeight="1" x14ac:dyDescent="0.2">
      <c r="B92" s="2501" t="s">
        <v>205</v>
      </c>
      <c r="C92" s="2502"/>
      <c r="D92" s="2502"/>
      <c r="E92" s="2502"/>
      <c r="F92" s="2502"/>
      <c r="G92" s="2502"/>
      <c r="H92" s="2502"/>
      <c r="I92" s="2502"/>
      <c r="J92" s="2502"/>
      <c r="K92" s="2502"/>
      <c r="L92" s="2502"/>
      <c r="M92" s="2502"/>
      <c r="N92" s="2502"/>
      <c r="O92" s="2502"/>
      <c r="P92" s="2505"/>
      <c r="Q92" s="1305"/>
      <c r="R92" s="1306"/>
      <c r="S92" s="1297"/>
      <c r="T92" s="1307"/>
    </row>
    <row r="93" spans="2:20" ht="12.95" customHeight="1" thickBot="1" x14ac:dyDescent="0.25">
      <c r="B93" s="2517" t="s">
        <v>206</v>
      </c>
      <c r="C93" s="2518"/>
      <c r="D93" s="2518"/>
      <c r="E93" s="2518"/>
      <c r="F93" s="2518"/>
      <c r="G93" s="2518"/>
      <c r="H93" s="2518"/>
      <c r="I93" s="2518"/>
      <c r="J93" s="2518"/>
      <c r="K93" s="2518"/>
      <c r="L93" s="2518"/>
      <c r="M93" s="2518"/>
      <c r="N93" s="2518"/>
      <c r="O93" s="2518"/>
      <c r="P93" s="2519"/>
      <c r="Q93" s="1305"/>
      <c r="R93" s="1306"/>
      <c r="S93" s="1297"/>
      <c r="T93" s="1307"/>
    </row>
    <row r="94" spans="2:20" ht="12.95" customHeight="1" thickTop="1" x14ac:dyDescent="0.2">
      <c r="B94" s="2523" t="s">
        <v>25</v>
      </c>
      <c r="C94" s="2524"/>
      <c r="D94" s="2524"/>
      <c r="E94" s="2524"/>
      <c r="F94" s="2524"/>
      <c r="G94" s="2524"/>
      <c r="H94" s="2524"/>
      <c r="I94" s="2524"/>
      <c r="J94" s="2524"/>
      <c r="K94" s="2524"/>
      <c r="L94" s="2524"/>
      <c r="M94" s="2524"/>
      <c r="N94" s="2524"/>
      <c r="O94" s="2524"/>
      <c r="P94" s="2525"/>
    </row>
    <row r="95" spans="2:20" ht="12.95" customHeight="1" thickBot="1" x14ac:dyDescent="0.25">
      <c r="B95" s="2526" t="s">
        <v>207</v>
      </c>
      <c r="C95" s="2527"/>
      <c r="D95" s="2528" t="s">
        <v>208</v>
      </c>
      <c r="E95" s="2529"/>
      <c r="F95" s="2529"/>
      <c r="G95" s="2529"/>
      <c r="H95" s="2529"/>
      <c r="I95" s="2529"/>
      <c r="J95" s="2529"/>
      <c r="K95" s="2529"/>
      <c r="L95" s="2530"/>
      <c r="M95" s="2531" t="s">
        <v>209</v>
      </c>
      <c r="N95" s="2530"/>
      <c r="O95" s="4" t="s">
        <v>210</v>
      </c>
      <c r="P95" s="92" t="s">
        <v>211</v>
      </c>
    </row>
    <row r="96" spans="2:20" ht="12.95" customHeight="1" thickTop="1" x14ac:dyDescent="0.2">
      <c r="B96" s="2535">
        <v>1</v>
      </c>
      <c r="C96" s="2536"/>
      <c r="D96" s="2532"/>
      <c r="E96" s="2533"/>
      <c r="F96" s="2533"/>
      <c r="G96" s="2533"/>
      <c r="H96" s="2533"/>
      <c r="I96" s="2533"/>
      <c r="J96" s="2533"/>
      <c r="K96" s="2533"/>
      <c r="L96" s="2534"/>
      <c r="M96" s="2538"/>
      <c r="N96" s="2539"/>
      <c r="O96" s="1073"/>
      <c r="P96" s="1177" t="s">
        <v>10</v>
      </c>
    </row>
    <row r="97" spans="2:16" ht="12.95" customHeight="1" x14ac:dyDescent="0.2">
      <c r="B97" s="2522">
        <v>2</v>
      </c>
      <c r="C97" s="2240"/>
      <c r="D97" s="1116"/>
      <c r="E97" s="1117"/>
      <c r="F97" s="1117"/>
      <c r="G97" s="1117"/>
      <c r="H97" s="1117"/>
      <c r="I97" s="1117"/>
      <c r="J97" s="1117"/>
      <c r="K97" s="1117"/>
      <c r="L97" s="1118"/>
      <c r="M97" s="2442"/>
      <c r="N97" s="2247"/>
      <c r="O97" s="1085"/>
      <c r="P97" s="1177" t="s">
        <v>11</v>
      </c>
    </row>
    <row r="98" spans="2:16" ht="12.95" customHeight="1" x14ac:dyDescent="0.2">
      <c r="B98" s="2522">
        <v>3</v>
      </c>
      <c r="C98" s="2240"/>
      <c r="D98" s="1116"/>
      <c r="E98" s="1117"/>
      <c r="F98" s="1117"/>
      <c r="G98" s="1117"/>
      <c r="H98" s="1117"/>
      <c r="I98" s="1117"/>
      <c r="J98" s="1117"/>
      <c r="K98" s="1117"/>
      <c r="L98" s="1118"/>
      <c r="M98" s="2442"/>
      <c r="N98" s="2247"/>
      <c r="O98" s="1085"/>
      <c r="P98" s="1177" t="s">
        <v>12</v>
      </c>
    </row>
    <row r="99" spans="2:16" ht="12.95" customHeight="1" x14ac:dyDescent="0.2">
      <c r="B99" s="2522">
        <v>4</v>
      </c>
      <c r="C99" s="2240"/>
      <c r="D99" s="1116"/>
      <c r="E99" s="1117"/>
      <c r="F99" s="1117"/>
      <c r="G99" s="1117"/>
      <c r="H99" s="1117"/>
      <c r="I99" s="1117"/>
      <c r="J99" s="1117"/>
      <c r="K99" s="1117"/>
      <c r="L99" s="1118"/>
      <c r="M99" s="2443"/>
      <c r="N99" s="2253"/>
      <c r="O99" s="1085"/>
      <c r="P99" s="1177" t="s">
        <v>13</v>
      </c>
    </row>
    <row r="100" spans="2:16" ht="12.95" customHeight="1" x14ac:dyDescent="0.2">
      <c r="B100" s="2522">
        <v>5</v>
      </c>
      <c r="C100" s="2240"/>
      <c r="D100" s="1116"/>
      <c r="E100" s="1117"/>
      <c r="F100" s="1117"/>
      <c r="G100" s="1117"/>
      <c r="H100" s="1117"/>
      <c r="I100" s="1117"/>
      <c r="J100" s="1117"/>
      <c r="K100" s="1117"/>
      <c r="L100" s="1118"/>
      <c r="M100" s="2443"/>
      <c r="N100" s="2253"/>
      <c r="O100" s="1085"/>
      <c r="P100" s="1177" t="s">
        <v>14</v>
      </c>
    </row>
    <row r="101" spans="2:16" ht="12.95" customHeight="1" x14ac:dyDescent="0.2">
      <c r="B101" s="2522">
        <v>6</v>
      </c>
      <c r="C101" s="2240"/>
      <c r="D101" s="1116"/>
      <c r="E101" s="1117"/>
      <c r="F101" s="1117"/>
      <c r="G101" s="1117"/>
      <c r="H101" s="1117"/>
      <c r="I101" s="1117"/>
      <c r="J101" s="1117"/>
      <c r="K101" s="1117"/>
      <c r="L101" s="1118"/>
      <c r="M101" s="2443"/>
      <c r="N101" s="2253"/>
      <c r="O101" s="1085"/>
      <c r="P101" s="1178" t="s">
        <v>42</v>
      </c>
    </row>
    <row r="102" spans="2:16" ht="12.95" customHeight="1" thickBot="1" x14ac:dyDescent="0.25">
      <c r="B102" s="2520">
        <v>7</v>
      </c>
      <c r="C102" s="2521"/>
      <c r="D102" s="1119"/>
      <c r="E102" s="1120"/>
      <c r="F102" s="1120"/>
      <c r="G102" s="1120"/>
      <c r="H102" s="1120"/>
      <c r="I102" s="1120"/>
      <c r="J102" s="1120"/>
      <c r="K102" s="1120"/>
      <c r="L102" s="1121"/>
      <c r="M102" s="2537"/>
      <c r="N102" s="2300"/>
      <c r="O102" s="1645"/>
      <c r="P102" s="1179" t="s">
        <v>487</v>
      </c>
    </row>
    <row r="103" spans="2:16" ht="13.5" thickTop="1" x14ac:dyDescent="0.2">
      <c r="B103" s="1308"/>
      <c r="C103" s="1308"/>
      <c r="D103" s="1308"/>
      <c r="E103" s="1308"/>
      <c r="F103" s="1308"/>
      <c r="G103" s="1308"/>
      <c r="H103" s="1308"/>
      <c r="I103" s="1308"/>
      <c r="J103" s="1308"/>
      <c r="K103" s="1308"/>
      <c r="L103" s="1308"/>
      <c r="M103" s="1308"/>
      <c r="N103" s="1308"/>
      <c r="O103" s="1308"/>
      <c r="P103" s="1308"/>
    </row>
    <row r="104" spans="2:16" x14ac:dyDescent="0.2">
      <c r="B104" s="1308"/>
      <c r="C104" s="1308"/>
      <c r="D104" s="1308"/>
      <c r="E104" s="1308"/>
      <c r="F104" s="1308"/>
      <c r="G104" s="1308"/>
      <c r="H104" s="1308"/>
      <c r="I104" s="1308"/>
      <c r="J104" s="1308"/>
      <c r="K104" s="1308"/>
      <c r="L104" s="1308"/>
      <c r="M104" s="1308"/>
      <c r="N104" s="1308"/>
      <c r="O104" s="1308"/>
      <c r="P104" s="1308"/>
    </row>
    <row r="105" spans="2:16" x14ac:dyDescent="0.2">
      <c r="B105" s="1308"/>
      <c r="C105" s="1308"/>
      <c r="D105" s="1308"/>
      <c r="E105" s="1308"/>
      <c r="F105" s="1308"/>
      <c r="G105" s="1308"/>
      <c r="H105" s="1308"/>
      <c r="I105" s="1308"/>
      <c r="J105" s="1308"/>
      <c r="K105" s="1308"/>
      <c r="L105" s="1308"/>
      <c r="M105" s="1308"/>
      <c r="N105" s="1308"/>
      <c r="O105" s="1308"/>
      <c r="P105" s="1308"/>
    </row>
    <row r="106" spans="2:16" x14ac:dyDescent="0.2">
      <c r="B106" s="1308"/>
      <c r="C106" s="1308"/>
      <c r="D106" s="1308"/>
      <c r="E106" s="1308"/>
      <c r="F106" s="1308"/>
      <c r="G106" s="1308"/>
      <c r="H106" s="1308"/>
      <c r="I106" s="1308"/>
      <c r="J106" s="1308"/>
      <c r="K106" s="1308"/>
      <c r="L106" s="1308"/>
      <c r="M106" s="1308"/>
      <c r="N106" s="1308"/>
      <c r="O106" s="1308"/>
      <c r="P106" s="1308"/>
    </row>
    <row r="107" spans="2:16" x14ac:dyDescent="0.2">
      <c r="B107" s="1308"/>
      <c r="C107" s="1308"/>
      <c r="D107" s="1308"/>
      <c r="E107" s="1308"/>
      <c r="F107" s="1308"/>
      <c r="G107" s="1308"/>
      <c r="H107" s="1308"/>
      <c r="I107" s="1308"/>
      <c r="J107" s="1308"/>
      <c r="K107" s="1308"/>
      <c r="L107" s="1308"/>
      <c r="M107" s="1308"/>
      <c r="N107" s="1308"/>
      <c r="O107" s="1308"/>
      <c r="P107" s="1308"/>
    </row>
    <row r="108" spans="2:16" x14ac:dyDescent="0.2">
      <c r="B108" s="1308"/>
      <c r="C108" s="1308"/>
      <c r="D108" s="1308"/>
      <c r="E108" s="1308"/>
      <c r="F108" s="1308"/>
      <c r="G108" s="1308"/>
      <c r="H108" s="1308"/>
      <c r="I108" s="1308"/>
      <c r="J108" s="1308"/>
      <c r="K108" s="1308"/>
      <c r="L108" s="1308"/>
      <c r="M108" s="1308"/>
      <c r="N108" s="1308"/>
      <c r="O108" s="1308"/>
      <c r="P108" s="1308"/>
    </row>
    <row r="109" spans="2:16" x14ac:dyDescent="0.2">
      <c r="B109" s="1308"/>
      <c r="C109" s="1308"/>
      <c r="D109" s="1308"/>
      <c r="E109" s="1308"/>
      <c r="F109" s="1308"/>
      <c r="G109" s="1308"/>
      <c r="H109" s="1308"/>
      <c r="I109" s="1308"/>
      <c r="J109" s="1308"/>
      <c r="K109" s="1308"/>
      <c r="L109" s="1308"/>
      <c r="M109" s="1308"/>
      <c r="N109" s="1308"/>
      <c r="O109" s="1308"/>
      <c r="P109" s="1308"/>
    </row>
    <row r="110" spans="2:16" x14ac:dyDescent="0.2">
      <c r="B110" s="1308"/>
      <c r="C110" s="1308"/>
      <c r="D110" s="1308"/>
      <c r="E110" s="1308"/>
      <c r="F110" s="1308"/>
      <c r="G110" s="1308"/>
      <c r="H110" s="1308"/>
      <c r="I110" s="1308"/>
      <c r="J110" s="1308"/>
      <c r="K110" s="1308"/>
      <c r="L110" s="1308"/>
      <c r="M110" s="1308"/>
      <c r="N110" s="1308"/>
      <c r="O110" s="1308"/>
      <c r="P110" s="1308"/>
    </row>
    <row r="111" spans="2:16" x14ac:dyDescent="0.2">
      <c r="B111" s="1308"/>
      <c r="C111" s="1308"/>
      <c r="D111" s="1308"/>
      <c r="E111" s="1308"/>
      <c r="F111" s="1308"/>
      <c r="G111" s="1308"/>
      <c r="H111" s="1308"/>
      <c r="I111" s="1308"/>
      <c r="J111" s="1308"/>
      <c r="K111" s="1308"/>
      <c r="L111" s="1308"/>
      <c r="M111" s="1308"/>
      <c r="N111" s="1308"/>
      <c r="O111" s="1308"/>
      <c r="P111" s="1308"/>
    </row>
    <row r="112" spans="2:16" x14ac:dyDescent="0.2">
      <c r="B112" s="1308"/>
      <c r="C112" s="1308"/>
      <c r="D112" s="1308"/>
      <c r="E112" s="1308"/>
      <c r="F112" s="1308"/>
      <c r="G112" s="1308"/>
      <c r="H112" s="1308"/>
      <c r="I112" s="1308"/>
      <c r="J112" s="1308"/>
      <c r="K112" s="1308"/>
      <c r="L112" s="1308"/>
      <c r="M112" s="1308"/>
      <c r="N112" s="1308"/>
      <c r="O112" s="1308"/>
      <c r="P112" s="1308"/>
    </row>
    <row r="113" spans="2:16" x14ac:dyDescent="0.2">
      <c r="B113" s="1308"/>
      <c r="C113" s="1308"/>
      <c r="D113" s="1308"/>
      <c r="E113" s="1308"/>
      <c r="F113" s="1308"/>
      <c r="G113" s="1308"/>
      <c r="H113" s="1308"/>
      <c r="I113" s="1308"/>
      <c r="J113" s="1308"/>
      <c r="K113" s="1308"/>
      <c r="L113" s="1308"/>
      <c r="M113" s="1308"/>
      <c r="N113" s="1308"/>
      <c r="O113" s="1308"/>
      <c r="P113" s="1308"/>
    </row>
    <row r="114" spans="2:16" x14ac:dyDescent="0.2">
      <c r="B114" s="1308"/>
      <c r="C114" s="1308"/>
      <c r="D114" s="1308"/>
      <c r="E114" s="1308"/>
      <c r="F114" s="1308"/>
      <c r="G114" s="1308"/>
      <c r="H114" s="1308"/>
      <c r="I114" s="1308"/>
      <c r="J114" s="1308"/>
      <c r="K114" s="1308"/>
      <c r="L114" s="1308"/>
      <c r="M114" s="1308"/>
      <c r="N114" s="1308"/>
      <c r="O114" s="1308"/>
      <c r="P114" s="1308"/>
    </row>
    <row r="115" spans="2:16" x14ac:dyDescent="0.2">
      <c r="B115" s="1308"/>
      <c r="C115" s="1308"/>
      <c r="D115" s="1308"/>
      <c r="E115" s="1308"/>
      <c r="F115" s="1308"/>
      <c r="G115" s="1308"/>
      <c r="H115" s="1308"/>
      <c r="I115" s="1308"/>
      <c r="J115" s="1308"/>
      <c r="K115" s="1308"/>
      <c r="L115" s="1308"/>
      <c r="M115" s="1308"/>
      <c r="N115" s="1308"/>
      <c r="O115" s="1308"/>
      <c r="P115" s="1308"/>
    </row>
    <row r="116" spans="2:16" x14ac:dyDescent="0.2">
      <c r="B116" s="1308"/>
      <c r="C116" s="1308"/>
      <c r="D116" s="1308"/>
      <c r="E116" s="1308"/>
      <c r="F116" s="1308"/>
      <c r="G116" s="1308"/>
      <c r="H116" s="1308"/>
      <c r="I116" s="1308"/>
      <c r="J116" s="1308"/>
      <c r="K116" s="1308"/>
      <c r="L116" s="1308"/>
      <c r="M116" s="1308"/>
      <c r="N116" s="1308"/>
      <c r="O116" s="1308"/>
      <c r="P116" s="1308"/>
    </row>
    <row r="117" spans="2:16" x14ac:dyDescent="0.2">
      <c r="B117" s="1308"/>
      <c r="C117" s="1308"/>
      <c r="D117" s="1308"/>
      <c r="E117" s="1308"/>
      <c r="F117" s="1308"/>
      <c r="G117" s="1308"/>
      <c r="H117" s="1308"/>
      <c r="I117" s="1308"/>
      <c r="J117" s="1308"/>
      <c r="K117" s="1308"/>
      <c r="L117" s="1308"/>
      <c r="M117" s="1308"/>
      <c r="N117" s="1308"/>
      <c r="O117" s="1308"/>
      <c r="P117" s="1308"/>
    </row>
    <row r="118" spans="2:16" x14ac:dyDescent="0.2">
      <c r="B118" s="1308"/>
      <c r="C118" s="1308"/>
      <c r="D118" s="1308"/>
      <c r="E118" s="1308"/>
      <c r="F118" s="1308"/>
      <c r="G118" s="1308"/>
      <c r="H118" s="1308"/>
      <c r="I118" s="1308"/>
      <c r="J118" s="1308"/>
      <c r="K118" s="1308"/>
      <c r="L118" s="1308"/>
      <c r="M118" s="1308"/>
      <c r="N118" s="1308"/>
      <c r="O118" s="1308"/>
      <c r="P118" s="1308"/>
    </row>
    <row r="119" spans="2:16" x14ac:dyDescent="0.2">
      <c r="B119" s="1308"/>
      <c r="C119" s="1308"/>
      <c r="D119" s="1308"/>
      <c r="E119" s="1308"/>
      <c r="F119" s="1308"/>
      <c r="G119" s="1308"/>
      <c r="H119" s="1308"/>
      <c r="I119" s="1308"/>
      <c r="J119" s="1308"/>
      <c r="K119" s="1308"/>
      <c r="L119" s="1308"/>
      <c r="M119" s="1308"/>
      <c r="N119" s="1308"/>
      <c r="O119" s="1308"/>
      <c r="P119" s="1308"/>
    </row>
  </sheetData>
  <mergeCells count="85">
    <mergeCell ref="B100:C100"/>
    <mergeCell ref="M100:N100"/>
    <mergeCell ref="B101:C101"/>
    <mergeCell ref="M101:N101"/>
    <mergeCell ref="B102:C102"/>
    <mergeCell ref="M102:N102"/>
    <mergeCell ref="B97:C97"/>
    <mergeCell ref="M97:N97"/>
    <mergeCell ref="B98:C98"/>
    <mergeCell ref="M98:N98"/>
    <mergeCell ref="B99:C99"/>
    <mergeCell ref="M99:N99"/>
    <mergeCell ref="B95:C95"/>
    <mergeCell ref="D95:L95"/>
    <mergeCell ref="M95:N95"/>
    <mergeCell ref="B96:C96"/>
    <mergeCell ref="D96:L96"/>
    <mergeCell ref="M96:N96"/>
    <mergeCell ref="B94:P94"/>
    <mergeCell ref="N85:P85"/>
    <mergeCell ref="M86:P86"/>
    <mergeCell ref="M87:P87"/>
    <mergeCell ref="B88:L88"/>
    <mergeCell ref="M88:P88"/>
    <mergeCell ref="B89:L89"/>
    <mergeCell ref="N89:P89"/>
    <mergeCell ref="B90:L90"/>
    <mergeCell ref="N90:P90"/>
    <mergeCell ref="B91:P91"/>
    <mergeCell ref="B92:P92"/>
    <mergeCell ref="B93:P93"/>
    <mergeCell ref="N84:P84"/>
    <mergeCell ref="B23:P23"/>
    <mergeCell ref="B24:K24"/>
    <mergeCell ref="L24:L27"/>
    <mergeCell ref="M24:O24"/>
    <mergeCell ref="B25:K25"/>
    <mergeCell ref="M25:M27"/>
    <mergeCell ref="N25:N27"/>
    <mergeCell ref="O25:O27"/>
    <mergeCell ref="B26:K26"/>
    <mergeCell ref="B27:K27"/>
    <mergeCell ref="B28:K28"/>
    <mergeCell ref="M79:O79"/>
    <mergeCell ref="M81:P81"/>
    <mergeCell ref="M82:P82"/>
    <mergeCell ref="M83:P83"/>
    <mergeCell ref="B22:P22"/>
    <mergeCell ref="B17:K17"/>
    <mergeCell ref="L17:N17"/>
    <mergeCell ref="O17:P17"/>
    <mergeCell ref="B18:K18"/>
    <mergeCell ref="L18:N18"/>
    <mergeCell ref="O18:P18"/>
    <mergeCell ref="B19:K19"/>
    <mergeCell ref="L19:N19"/>
    <mergeCell ref="O19:P19"/>
    <mergeCell ref="B20:P20"/>
    <mergeCell ref="B21:P21"/>
    <mergeCell ref="B16:K16"/>
    <mergeCell ref="L16:N16"/>
    <mergeCell ref="O16:P16"/>
    <mergeCell ref="B9:K9"/>
    <mergeCell ref="M9:P9"/>
    <mergeCell ref="B10:K10"/>
    <mergeCell ref="L10:P10"/>
    <mergeCell ref="B11:K11"/>
    <mergeCell ref="B12:K12"/>
    <mergeCell ref="B13:K13"/>
    <mergeCell ref="B14:P14"/>
    <mergeCell ref="B15:K15"/>
    <mergeCell ref="L15:N15"/>
    <mergeCell ref="O15:P15"/>
    <mergeCell ref="B6:K6"/>
    <mergeCell ref="M6:P6"/>
    <mergeCell ref="B7:K7"/>
    <mergeCell ref="M7:P7"/>
    <mergeCell ref="B8:K8"/>
    <mergeCell ref="M8:P8"/>
    <mergeCell ref="F2:O2"/>
    <mergeCell ref="P2:P3"/>
    <mergeCell ref="F3:O3"/>
    <mergeCell ref="B4:O4"/>
    <mergeCell ref="P4:P5"/>
    <mergeCell ref="B5:O5"/>
  </mergeCells>
  <pageMargins left="1.011811024" right="0.27559055118110198" top="0.511811023622047" bottom="0.47244094488188998" header="0.31496062992126" footer="0.31496062992126"/>
  <pageSetup paperSize="5" scale="70"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4:S74"/>
  <sheetViews>
    <sheetView tabSelected="1" view="pageBreakPreview" topLeftCell="D31" zoomScale="80" zoomScaleSheetLayoutView="80" workbookViewId="0">
      <selection activeCell="J62" sqref="J62"/>
    </sheetView>
  </sheetViews>
  <sheetFormatPr defaultColWidth="8.7109375" defaultRowHeight="12.75" x14ac:dyDescent="0.2"/>
  <cols>
    <col min="1" max="1" width="2.7109375" style="715" customWidth="1"/>
    <col min="2" max="2" width="2.5703125" style="715" customWidth="1"/>
    <col min="3" max="3" width="5" style="715" customWidth="1"/>
    <col min="4" max="4" width="3.5703125" style="715" customWidth="1"/>
    <col min="5" max="5" width="3.7109375" style="715" customWidth="1"/>
    <col min="6" max="6" width="9.28515625" style="715" customWidth="1"/>
    <col min="7" max="7" width="8.7109375" style="715"/>
    <col min="8" max="8" width="7" style="715" customWidth="1"/>
    <col min="9" max="9" width="2" style="715" customWidth="1"/>
    <col min="10" max="10" width="13.42578125" style="715" customWidth="1"/>
    <col min="11" max="12" width="8.7109375" style="715"/>
    <col min="13" max="13" width="4" style="715" customWidth="1"/>
    <col min="14" max="14" width="23.7109375" style="715" customWidth="1"/>
    <col min="15" max="15" width="5.42578125" style="715" customWidth="1"/>
    <col min="16" max="16" width="2.7109375" style="715" hidden="1" customWidth="1"/>
    <col min="17" max="18" width="8.7109375" style="715"/>
    <col min="19" max="19" width="19.28515625" style="715" customWidth="1"/>
    <col min="20" max="16384" width="8.7109375" style="715"/>
  </cols>
  <sheetData>
    <row r="4" spans="2:17" x14ac:dyDescent="0.2">
      <c r="B4" s="975"/>
      <c r="C4" s="975"/>
      <c r="D4" s="975"/>
      <c r="E4" s="975"/>
      <c r="F4" s="975"/>
      <c r="G4" s="975"/>
      <c r="H4" s="975"/>
      <c r="I4" s="975"/>
      <c r="J4" s="975"/>
      <c r="K4" s="975"/>
      <c r="L4" s="975"/>
      <c r="M4" s="975"/>
      <c r="N4" s="975"/>
      <c r="O4" s="975"/>
      <c r="P4" s="975"/>
    </row>
    <row r="5" spans="2:17" x14ac:dyDescent="0.2">
      <c r="B5" s="975"/>
      <c r="C5" s="975"/>
      <c r="D5" s="975"/>
      <c r="E5" s="975"/>
      <c r="F5" s="975"/>
      <c r="G5" s="975"/>
      <c r="H5" s="975"/>
      <c r="I5" s="975"/>
      <c r="J5" s="975"/>
      <c r="K5" s="975"/>
      <c r="L5" s="975"/>
      <c r="M5" s="975"/>
      <c r="N5" s="975"/>
      <c r="O5" s="975"/>
      <c r="P5" s="975"/>
    </row>
    <row r="6" spans="2:17" x14ac:dyDescent="0.2">
      <c r="B6" s="975"/>
      <c r="C6" s="975"/>
      <c r="D6" s="975"/>
      <c r="E6" s="975"/>
      <c r="F6" s="975"/>
      <c r="G6" s="975"/>
      <c r="H6" s="975"/>
      <c r="I6" s="975"/>
      <c r="J6" s="975"/>
      <c r="K6" s="975"/>
      <c r="L6" s="975"/>
      <c r="M6" s="975"/>
      <c r="N6" s="975"/>
      <c r="O6" s="975"/>
      <c r="P6" s="975"/>
      <c r="Q6" s="730"/>
    </row>
    <row r="7" spans="2:17" x14ac:dyDescent="0.2">
      <c r="B7" s="975"/>
      <c r="C7" s="975"/>
      <c r="D7" s="975"/>
      <c r="E7" s="975"/>
      <c r="F7" s="975"/>
      <c r="G7" s="975"/>
      <c r="H7" s="975"/>
      <c r="I7" s="975"/>
      <c r="J7" s="975"/>
      <c r="K7" s="975"/>
      <c r="L7" s="975"/>
      <c r="M7" s="975"/>
      <c r="N7" s="975"/>
      <c r="O7" s="975"/>
      <c r="P7" s="975"/>
    </row>
    <row r="8" spans="2:17" x14ac:dyDescent="0.2">
      <c r="B8" s="975"/>
      <c r="C8" s="975"/>
      <c r="D8" s="975"/>
      <c r="E8" s="975"/>
      <c r="F8" s="975"/>
      <c r="G8" s="975"/>
      <c r="H8" s="975"/>
      <c r="I8" s="975"/>
      <c r="J8" s="975"/>
      <c r="K8" s="975"/>
      <c r="L8" s="975"/>
      <c r="M8" s="975"/>
      <c r="N8" s="975"/>
      <c r="O8" s="975"/>
      <c r="P8" s="975"/>
    </row>
    <row r="9" spans="2:17" x14ac:dyDescent="0.2">
      <c r="B9" s="975"/>
      <c r="C9" s="975"/>
      <c r="D9" s="975"/>
      <c r="E9" s="975"/>
      <c r="F9" s="975"/>
      <c r="G9" s="975"/>
      <c r="H9" s="975"/>
      <c r="I9" s="975"/>
      <c r="J9" s="975"/>
      <c r="K9" s="975"/>
      <c r="L9" s="975"/>
      <c r="M9" s="975"/>
      <c r="N9" s="975"/>
      <c r="O9" s="975"/>
      <c r="P9" s="975"/>
    </row>
    <row r="10" spans="2:17" x14ac:dyDescent="0.2">
      <c r="B10" s="975"/>
      <c r="C10" s="975"/>
      <c r="D10" s="975"/>
      <c r="E10" s="975"/>
      <c r="F10" s="975"/>
      <c r="G10" s="975"/>
      <c r="H10" s="975"/>
      <c r="I10" s="975"/>
      <c r="J10" s="975"/>
      <c r="K10" s="975"/>
      <c r="L10" s="975"/>
      <c r="M10" s="975"/>
      <c r="N10" s="975"/>
      <c r="O10" s="975"/>
      <c r="P10" s="975"/>
    </row>
    <row r="11" spans="2:17" x14ac:dyDescent="0.2">
      <c r="B11" s="975"/>
      <c r="C11" s="975"/>
      <c r="D11" s="975"/>
      <c r="E11" s="975"/>
      <c r="F11" s="975"/>
      <c r="G11" s="975"/>
      <c r="H11" s="975"/>
      <c r="I11" s="975"/>
      <c r="J11" s="975"/>
      <c r="K11" s="975"/>
      <c r="L11" s="975"/>
      <c r="M11" s="975"/>
      <c r="N11" s="975"/>
      <c r="O11" s="975"/>
      <c r="P11" s="975"/>
    </row>
    <row r="12" spans="2:17" x14ac:dyDescent="0.2">
      <c r="B12" s="975"/>
      <c r="C12" s="975"/>
      <c r="D12" s="975"/>
      <c r="E12" s="975"/>
      <c r="F12" s="975"/>
      <c r="G12" s="975"/>
      <c r="H12" s="975"/>
      <c r="I12" s="975"/>
      <c r="J12" s="975"/>
      <c r="K12" s="975"/>
      <c r="L12" s="975"/>
      <c r="M12" s="975"/>
      <c r="N12" s="975"/>
      <c r="O12" s="975"/>
      <c r="P12" s="975"/>
    </row>
    <row r="13" spans="2:17" x14ac:dyDescent="0.2">
      <c r="B13" s="975"/>
      <c r="C13" s="975"/>
      <c r="D13" s="975"/>
      <c r="E13" s="975"/>
      <c r="F13" s="975"/>
      <c r="G13" s="975"/>
      <c r="H13" s="975"/>
      <c r="I13" s="975"/>
      <c r="J13" s="975"/>
      <c r="K13" s="975"/>
      <c r="L13" s="975"/>
      <c r="M13" s="975"/>
      <c r="N13" s="975"/>
      <c r="O13" s="975"/>
      <c r="P13" s="975"/>
    </row>
    <row r="14" spans="2:17" x14ac:dyDescent="0.2">
      <c r="B14" s="975"/>
      <c r="C14" s="975"/>
      <c r="D14" s="975"/>
      <c r="E14" s="975"/>
      <c r="F14" s="975"/>
      <c r="G14" s="975"/>
      <c r="H14" s="975"/>
      <c r="I14" s="975"/>
      <c r="J14" s="975"/>
      <c r="K14" s="975"/>
      <c r="L14" s="975"/>
      <c r="M14" s="975"/>
      <c r="N14" s="975"/>
      <c r="O14" s="975"/>
      <c r="P14" s="975"/>
    </row>
    <row r="15" spans="2:17" x14ac:dyDescent="0.2">
      <c r="B15" s="975"/>
      <c r="C15" s="975"/>
      <c r="D15" s="975"/>
      <c r="E15" s="975"/>
      <c r="F15" s="975"/>
      <c r="G15" s="975"/>
      <c r="H15" s="975"/>
      <c r="I15" s="975"/>
      <c r="J15" s="975"/>
      <c r="K15" s="975"/>
      <c r="L15" s="975"/>
      <c r="M15" s="975"/>
      <c r="N15" s="975"/>
      <c r="O15" s="975"/>
      <c r="P15" s="975"/>
    </row>
    <row r="16" spans="2:17" x14ac:dyDescent="0.2">
      <c r="B16" s="975"/>
      <c r="C16" s="975"/>
      <c r="D16" s="975"/>
      <c r="E16" s="975"/>
      <c r="F16" s="975"/>
      <c r="G16" s="975"/>
      <c r="H16" s="975"/>
      <c r="I16" s="975"/>
      <c r="J16" s="975"/>
      <c r="K16" s="975"/>
      <c r="L16" s="975"/>
      <c r="M16" s="975"/>
      <c r="N16" s="975"/>
      <c r="O16" s="975"/>
      <c r="P16" s="975"/>
    </row>
    <row r="17" spans="2:16" x14ac:dyDescent="0.2">
      <c r="B17" s="975"/>
      <c r="C17" s="975"/>
      <c r="D17" s="975"/>
      <c r="E17" s="975"/>
      <c r="F17" s="975"/>
      <c r="G17" s="975"/>
      <c r="H17" s="975"/>
      <c r="I17" s="975"/>
      <c r="J17" s="975"/>
      <c r="K17" s="975"/>
      <c r="L17" s="975"/>
      <c r="M17" s="975"/>
      <c r="N17" s="975"/>
      <c r="O17" s="975"/>
      <c r="P17" s="975"/>
    </row>
    <row r="18" spans="2:16" x14ac:dyDescent="0.2">
      <c r="B18" s="975"/>
      <c r="C18" s="975"/>
      <c r="D18" s="975"/>
      <c r="E18" s="975"/>
      <c r="F18" s="975"/>
      <c r="G18" s="975"/>
      <c r="H18" s="975"/>
      <c r="I18" s="975"/>
      <c r="J18" s="975"/>
      <c r="K18" s="975"/>
      <c r="L18" s="975"/>
      <c r="M18" s="975"/>
      <c r="N18" s="975"/>
      <c r="O18" s="975"/>
      <c r="P18" s="975"/>
    </row>
    <row r="19" spans="2:16" x14ac:dyDescent="0.2">
      <c r="B19" s="975"/>
      <c r="C19" s="975"/>
      <c r="D19" s="975"/>
      <c r="E19" s="975"/>
      <c r="F19" s="975"/>
      <c r="G19" s="975"/>
      <c r="H19" s="975"/>
      <c r="I19" s="975"/>
      <c r="J19" s="975"/>
      <c r="K19" s="975"/>
      <c r="L19" s="975"/>
      <c r="M19" s="975"/>
      <c r="N19" s="975"/>
      <c r="O19" s="975"/>
      <c r="P19" s="975"/>
    </row>
    <row r="20" spans="2:16" x14ac:dyDescent="0.2">
      <c r="B20" s="975"/>
      <c r="C20" s="975"/>
      <c r="D20" s="975"/>
      <c r="E20" s="975"/>
      <c r="F20" s="975"/>
      <c r="G20" s="975"/>
      <c r="H20" s="975"/>
      <c r="I20" s="975"/>
      <c r="J20" s="975"/>
      <c r="K20" s="975"/>
      <c r="L20" s="975"/>
      <c r="M20" s="975"/>
      <c r="N20" s="975"/>
      <c r="O20" s="975"/>
      <c r="P20" s="975"/>
    </row>
    <row r="21" spans="2:16" x14ac:dyDescent="0.2">
      <c r="B21" s="975"/>
      <c r="C21" s="975"/>
      <c r="D21" s="975"/>
      <c r="E21" s="975"/>
      <c r="F21" s="975"/>
      <c r="G21" s="975"/>
      <c r="H21" s="975"/>
      <c r="I21" s="975"/>
      <c r="J21" s="975"/>
      <c r="K21" s="975"/>
      <c r="L21" s="975"/>
      <c r="M21" s="975"/>
      <c r="N21" s="975"/>
      <c r="O21" s="975"/>
      <c r="P21" s="975"/>
    </row>
    <row r="22" spans="2:16" x14ac:dyDescent="0.2">
      <c r="B22" s="975"/>
      <c r="C22" s="975"/>
      <c r="D22" s="975"/>
      <c r="E22" s="975"/>
      <c r="F22" s="975"/>
      <c r="G22" s="975"/>
      <c r="H22" s="975"/>
      <c r="I22" s="975"/>
      <c r="J22" s="975"/>
      <c r="K22" s="975"/>
      <c r="L22" s="975"/>
      <c r="M22" s="975"/>
      <c r="N22" s="975"/>
      <c r="O22" s="975"/>
      <c r="P22" s="975"/>
    </row>
    <row r="23" spans="2:16" x14ac:dyDescent="0.2">
      <c r="B23" s="975"/>
      <c r="C23" s="975"/>
      <c r="D23" s="975"/>
      <c r="E23" s="975"/>
      <c r="F23" s="975"/>
      <c r="G23" s="975"/>
      <c r="H23" s="975"/>
      <c r="I23" s="975"/>
      <c r="J23" s="975"/>
      <c r="K23" s="975"/>
      <c r="L23" s="975"/>
      <c r="M23" s="975"/>
      <c r="N23" s="975"/>
      <c r="O23" s="975"/>
      <c r="P23" s="975"/>
    </row>
    <row r="24" spans="2:16" x14ac:dyDescent="0.2">
      <c r="B24" s="975"/>
      <c r="C24" s="975"/>
      <c r="D24" s="975"/>
      <c r="E24" s="975"/>
      <c r="F24" s="975"/>
      <c r="G24" s="975"/>
      <c r="H24" s="975"/>
      <c r="I24" s="975"/>
      <c r="J24" s="975"/>
      <c r="K24" s="975"/>
      <c r="L24" s="975"/>
      <c r="M24" s="975"/>
      <c r="N24" s="975"/>
      <c r="O24" s="975"/>
      <c r="P24" s="975"/>
    </row>
    <row r="25" spans="2:16" x14ac:dyDescent="0.2">
      <c r="B25" s="975"/>
      <c r="C25" s="975"/>
      <c r="D25" s="975"/>
      <c r="E25" s="975"/>
      <c r="F25" s="975"/>
      <c r="G25" s="975"/>
      <c r="H25" s="975"/>
      <c r="I25" s="975"/>
      <c r="J25" s="975"/>
      <c r="K25" s="975"/>
      <c r="L25" s="975"/>
      <c r="M25" s="975"/>
      <c r="N25" s="975"/>
      <c r="O25" s="975"/>
      <c r="P25" s="975"/>
    </row>
    <row r="26" spans="2:16" x14ac:dyDescent="0.2">
      <c r="B26" s="975"/>
      <c r="C26" s="975"/>
      <c r="D26" s="975"/>
      <c r="E26" s="975"/>
      <c r="F26" s="975"/>
      <c r="G26" s="975"/>
      <c r="H26" s="975"/>
      <c r="I26" s="975"/>
      <c r="J26" s="975"/>
      <c r="K26" s="975"/>
      <c r="L26" s="975"/>
      <c r="M26" s="975"/>
      <c r="N26" s="975"/>
      <c r="O26" s="975"/>
      <c r="P26" s="975"/>
    </row>
    <row r="27" spans="2:16" x14ac:dyDescent="0.2">
      <c r="B27" s="975"/>
      <c r="C27" s="975"/>
      <c r="D27" s="975"/>
      <c r="E27" s="975"/>
      <c r="F27" s="975"/>
      <c r="G27" s="975"/>
      <c r="H27" s="975"/>
      <c r="I27" s="975"/>
      <c r="J27" s="975"/>
      <c r="K27" s="975"/>
      <c r="L27" s="975"/>
      <c r="M27" s="975"/>
      <c r="N27" s="975"/>
      <c r="O27" s="975"/>
      <c r="P27" s="975"/>
    </row>
    <row r="28" spans="2:16" x14ac:dyDescent="0.2">
      <c r="B28" s="975"/>
      <c r="C28" s="975"/>
      <c r="D28" s="975"/>
      <c r="E28" s="975"/>
      <c r="F28" s="975"/>
      <c r="G28" s="975"/>
      <c r="H28" s="975"/>
      <c r="I28" s="975"/>
      <c r="J28" s="975"/>
      <c r="K28" s="975"/>
      <c r="L28" s="975"/>
      <c r="M28" s="975"/>
      <c r="N28" s="975"/>
      <c r="O28" s="975"/>
      <c r="P28" s="975"/>
    </row>
    <row r="29" spans="2:16" ht="23.25" customHeight="1" x14ac:dyDescent="0.2">
      <c r="B29" s="975"/>
      <c r="C29" s="2146" t="s">
        <v>7</v>
      </c>
      <c r="D29" s="2146"/>
      <c r="E29" s="2146"/>
      <c r="F29" s="2146"/>
      <c r="G29" s="2146"/>
      <c r="H29" s="2146"/>
      <c r="I29" s="2146"/>
      <c r="J29" s="2146"/>
      <c r="K29" s="2146"/>
      <c r="L29" s="2146"/>
      <c r="M29" s="2146"/>
      <c r="N29" s="2146"/>
      <c r="O29" s="2146"/>
      <c r="P29" s="975"/>
    </row>
    <row r="30" spans="2:16" ht="12.75" customHeight="1" x14ac:dyDescent="0.2">
      <c r="B30" s="975"/>
      <c r="C30" s="2146"/>
      <c r="D30" s="2146"/>
      <c r="E30" s="2146"/>
      <c r="F30" s="2146"/>
      <c r="G30" s="2146"/>
      <c r="H30" s="2146"/>
      <c r="I30" s="2146"/>
      <c r="J30" s="2146"/>
      <c r="K30" s="2146"/>
      <c r="L30" s="2146"/>
      <c r="M30" s="2146"/>
      <c r="N30" s="2146"/>
      <c r="O30" s="2146"/>
      <c r="P30" s="975"/>
    </row>
    <row r="31" spans="2:16" x14ac:dyDescent="0.2">
      <c r="B31" s="975"/>
      <c r="C31" s="975"/>
      <c r="D31" s="975"/>
      <c r="E31" s="975"/>
      <c r="F31" s="975"/>
      <c r="G31" s="975"/>
      <c r="H31" s="975"/>
      <c r="I31" s="975"/>
      <c r="J31" s="975"/>
      <c r="K31" s="975"/>
      <c r="L31" s="975"/>
      <c r="M31" s="975"/>
      <c r="N31" s="975"/>
      <c r="O31" s="975"/>
      <c r="P31" s="975"/>
    </row>
    <row r="32" spans="2:16" x14ac:dyDescent="0.2">
      <c r="B32" s="975"/>
      <c r="C32" s="975"/>
      <c r="D32" s="975"/>
      <c r="E32" s="975"/>
      <c r="F32" s="975"/>
      <c r="G32" s="975"/>
      <c r="H32" s="975"/>
      <c r="I32" s="975"/>
      <c r="J32" s="975"/>
      <c r="K32" s="975"/>
      <c r="L32" s="975"/>
      <c r="M32" s="975"/>
      <c r="N32" s="975"/>
      <c r="O32" s="975"/>
      <c r="P32" s="975"/>
    </row>
    <row r="33" spans="2:19" ht="12.75" customHeight="1" x14ac:dyDescent="0.2">
      <c r="B33" s="975"/>
      <c r="C33" s="975"/>
      <c r="D33" s="2146" t="s">
        <v>183</v>
      </c>
      <c r="E33" s="2146"/>
      <c r="F33" s="2146"/>
      <c r="G33" s="2146"/>
      <c r="H33" s="2146"/>
      <c r="I33" s="2146"/>
      <c r="J33" s="2146"/>
      <c r="K33" s="2146"/>
      <c r="L33" s="2146"/>
      <c r="M33" s="2146"/>
      <c r="N33" s="2146"/>
      <c r="O33" s="975"/>
      <c r="P33" s="975"/>
    </row>
    <row r="34" spans="2:19" ht="12.75" customHeight="1" x14ac:dyDescent="0.2">
      <c r="B34" s="975"/>
      <c r="C34" s="975"/>
      <c r="D34" s="2146"/>
      <c r="E34" s="2146"/>
      <c r="F34" s="2146"/>
      <c r="G34" s="2146"/>
      <c r="H34" s="2146"/>
      <c r="I34" s="2146"/>
      <c r="J34" s="2146"/>
      <c r="K34" s="2146"/>
      <c r="L34" s="2146"/>
      <c r="M34" s="2146"/>
      <c r="N34" s="2146"/>
      <c r="O34" s="975"/>
      <c r="P34" s="975"/>
    </row>
    <row r="35" spans="2:19" ht="12.75" customHeight="1" x14ac:dyDescent="0.2">
      <c r="B35" s="975"/>
      <c r="C35" s="975"/>
      <c r="D35" s="2146" t="s">
        <v>33</v>
      </c>
      <c r="E35" s="2146"/>
      <c r="F35" s="2146"/>
      <c r="G35" s="2146"/>
      <c r="H35" s="2146"/>
      <c r="I35" s="2146"/>
      <c r="J35" s="2146"/>
      <c r="K35" s="2146"/>
      <c r="L35" s="2146"/>
      <c r="M35" s="2146"/>
      <c r="N35" s="2146"/>
      <c r="O35" s="975"/>
      <c r="P35" s="975"/>
    </row>
    <row r="36" spans="2:19" ht="12.75" customHeight="1" x14ac:dyDescent="0.2">
      <c r="B36" s="975"/>
      <c r="C36" s="975"/>
      <c r="D36" s="2146"/>
      <c r="E36" s="2146"/>
      <c r="F36" s="2146"/>
      <c r="G36" s="2146"/>
      <c r="H36" s="2146"/>
      <c r="I36" s="2146"/>
      <c r="J36" s="2146"/>
      <c r="K36" s="2146"/>
      <c r="L36" s="2146"/>
      <c r="M36" s="2146"/>
      <c r="N36" s="2146"/>
      <c r="O36" s="975"/>
      <c r="P36" s="975"/>
    </row>
    <row r="37" spans="2:19" ht="12.75" customHeight="1" x14ac:dyDescent="0.25">
      <c r="B37" s="975"/>
      <c r="C37" s="976"/>
      <c r="D37" s="2146" t="s">
        <v>933</v>
      </c>
      <c r="E37" s="2146"/>
      <c r="F37" s="2146"/>
      <c r="G37" s="2146"/>
      <c r="H37" s="2146"/>
      <c r="I37" s="2146"/>
      <c r="J37" s="2146"/>
      <c r="K37" s="2146"/>
      <c r="L37" s="2146"/>
      <c r="M37" s="2146"/>
      <c r="N37" s="2146"/>
      <c r="O37" s="975"/>
      <c r="P37" s="975"/>
    </row>
    <row r="38" spans="2:19" ht="12.75" customHeight="1" x14ac:dyDescent="0.2">
      <c r="B38" s="975"/>
      <c r="C38" s="813"/>
      <c r="D38" s="2146"/>
      <c r="E38" s="2146"/>
      <c r="F38" s="2146"/>
      <c r="G38" s="2146"/>
      <c r="H38" s="2146"/>
      <c r="I38" s="2146"/>
      <c r="J38" s="2146"/>
      <c r="K38" s="2146"/>
      <c r="L38" s="2146"/>
      <c r="M38" s="2146"/>
      <c r="N38" s="2146"/>
      <c r="O38" s="975"/>
      <c r="P38" s="975"/>
    </row>
    <row r="39" spans="2:19" ht="12.75" customHeight="1" x14ac:dyDescent="0.35">
      <c r="B39" s="975"/>
      <c r="C39" s="813"/>
      <c r="D39" s="977"/>
      <c r="E39" s="977"/>
      <c r="F39" s="977"/>
      <c r="G39" s="977"/>
      <c r="H39" s="977"/>
      <c r="I39" s="977"/>
      <c r="J39" s="977"/>
      <c r="K39" s="977"/>
      <c r="L39" s="977"/>
      <c r="M39" s="977"/>
      <c r="N39" s="977"/>
      <c r="O39" s="975"/>
      <c r="P39" s="975"/>
      <c r="S39" s="715">
        <v>1</v>
      </c>
    </row>
    <row r="40" spans="2:19" ht="12.75" customHeight="1" x14ac:dyDescent="0.35">
      <c r="B40" s="975"/>
      <c r="C40" s="813"/>
      <c r="D40" s="977"/>
      <c r="E40" s="977"/>
      <c r="F40" s="977"/>
      <c r="G40" s="977"/>
      <c r="H40" s="977"/>
      <c r="I40" s="977"/>
      <c r="J40" s="977"/>
      <c r="K40" s="977"/>
      <c r="L40" s="977"/>
      <c r="M40" s="977"/>
      <c r="N40" s="977"/>
      <c r="O40" s="975"/>
      <c r="P40" s="975"/>
    </row>
    <row r="41" spans="2:19" ht="12.75" customHeight="1" x14ac:dyDescent="0.35">
      <c r="B41" s="975"/>
      <c r="C41" s="813"/>
      <c r="D41" s="977"/>
      <c r="E41" s="977"/>
      <c r="F41" s="977"/>
      <c r="G41" s="977"/>
      <c r="H41" s="977"/>
      <c r="I41" s="977"/>
      <c r="J41" s="977"/>
      <c r="K41" s="977"/>
      <c r="L41" s="977"/>
      <c r="M41" s="977"/>
      <c r="N41" s="977"/>
      <c r="O41" s="975"/>
      <c r="P41" s="975"/>
    </row>
    <row r="42" spans="2:19" ht="12.75" customHeight="1" x14ac:dyDescent="0.35">
      <c r="B42" s="975"/>
      <c r="C42" s="813"/>
      <c r="D42" s="977"/>
      <c r="E42" s="977"/>
      <c r="F42" s="977"/>
      <c r="G42" s="977"/>
      <c r="H42" s="977"/>
      <c r="I42" s="977"/>
      <c r="J42" s="977"/>
      <c r="K42" s="977"/>
      <c r="L42" s="977"/>
      <c r="M42" s="977"/>
      <c r="N42" s="977"/>
      <c r="O42" s="975"/>
      <c r="P42" s="975"/>
    </row>
    <row r="43" spans="2:19" ht="12.75" customHeight="1" x14ac:dyDescent="0.35">
      <c r="B43" s="975"/>
      <c r="C43" s="813"/>
      <c r="D43" s="977"/>
      <c r="E43" s="977"/>
      <c r="F43" s="977"/>
      <c r="G43" s="977"/>
      <c r="H43" s="977"/>
      <c r="I43" s="977"/>
      <c r="J43" s="977"/>
      <c r="K43" s="977"/>
      <c r="L43" s="977"/>
      <c r="M43" s="977"/>
      <c r="N43" s="977"/>
      <c r="O43" s="975"/>
      <c r="P43" s="975"/>
    </row>
    <row r="44" spans="2:19" ht="13.5" customHeight="1" x14ac:dyDescent="0.2">
      <c r="B44" s="975"/>
      <c r="C44" s="975"/>
      <c r="D44" s="975"/>
      <c r="E44" s="975"/>
      <c r="F44" s="975"/>
      <c r="G44" s="975"/>
      <c r="H44" s="975"/>
      <c r="I44" s="975"/>
      <c r="J44" s="975"/>
      <c r="K44" s="975"/>
      <c r="L44" s="975"/>
      <c r="M44" s="975"/>
      <c r="N44" s="975"/>
      <c r="O44" s="975"/>
      <c r="P44" s="975"/>
    </row>
    <row r="45" spans="2:19" ht="24" customHeight="1" x14ac:dyDescent="0.4">
      <c r="B45" s="975"/>
      <c r="C45" s="975"/>
      <c r="D45" s="975"/>
      <c r="E45" s="975"/>
      <c r="F45" s="975"/>
      <c r="G45" s="975"/>
      <c r="H45" s="2147"/>
      <c r="I45" s="2147"/>
      <c r="J45" s="2147"/>
      <c r="K45" s="2147"/>
      <c r="L45" s="2147"/>
      <c r="M45" s="975"/>
      <c r="N45" s="975"/>
      <c r="O45" s="975"/>
      <c r="P45" s="975"/>
    </row>
    <row r="46" spans="2:19" ht="6" customHeight="1" x14ac:dyDescent="0.2">
      <c r="B46" s="975"/>
      <c r="C46" s="975"/>
      <c r="D46" s="2145" t="s">
        <v>31</v>
      </c>
      <c r="E46" s="2145"/>
      <c r="F46" s="2145"/>
      <c r="G46" s="2145"/>
      <c r="H46" s="2145"/>
      <c r="I46" s="2145"/>
      <c r="J46" s="2145"/>
      <c r="K46" s="2145"/>
      <c r="L46" s="2145"/>
      <c r="M46" s="2145"/>
      <c r="N46" s="2145"/>
      <c r="O46" s="975"/>
      <c r="P46" s="975"/>
    </row>
    <row r="47" spans="2:19" ht="3" customHeight="1" x14ac:dyDescent="0.2">
      <c r="B47" s="975"/>
      <c r="C47" s="975"/>
      <c r="D47" s="2145"/>
      <c r="E47" s="2145"/>
      <c r="F47" s="2145"/>
      <c r="G47" s="2145"/>
      <c r="H47" s="2145"/>
      <c r="I47" s="2145"/>
      <c r="J47" s="2145"/>
      <c r="K47" s="2145"/>
      <c r="L47" s="2145"/>
      <c r="M47" s="2145"/>
      <c r="N47" s="2145"/>
      <c r="O47" s="975"/>
      <c r="P47" s="975"/>
    </row>
    <row r="48" spans="2:19" ht="5.25" customHeight="1" x14ac:dyDescent="0.2">
      <c r="B48" s="975"/>
      <c r="C48" s="975"/>
      <c r="D48" s="2145"/>
      <c r="E48" s="2145"/>
      <c r="F48" s="2145"/>
      <c r="G48" s="2145"/>
      <c r="H48" s="2145"/>
      <c r="I48" s="2145"/>
      <c r="J48" s="2145"/>
      <c r="K48" s="2145"/>
      <c r="L48" s="2145"/>
      <c r="M48" s="2145"/>
      <c r="N48" s="2145"/>
      <c r="O48" s="975"/>
      <c r="P48" s="975"/>
    </row>
    <row r="49" spans="2:16" ht="12.75" hidden="1" customHeight="1" x14ac:dyDescent="0.2">
      <c r="B49" s="975"/>
      <c r="C49" s="975"/>
      <c r="D49" s="2145"/>
      <c r="E49" s="2145"/>
      <c r="F49" s="2145"/>
      <c r="G49" s="2145"/>
      <c r="H49" s="2145"/>
      <c r="I49" s="2145"/>
      <c r="J49" s="2145"/>
      <c r="K49" s="2145"/>
      <c r="L49" s="2145"/>
      <c r="M49" s="2145"/>
      <c r="N49" s="2145"/>
      <c r="O49" s="975"/>
      <c r="P49" s="975"/>
    </row>
    <row r="50" spans="2:16" ht="14.25" customHeight="1" x14ac:dyDescent="0.2">
      <c r="B50" s="975"/>
      <c r="C50" s="975"/>
      <c r="D50" s="2145"/>
      <c r="E50" s="2145"/>
      <c r="F50" s="2145"/>
      <c r="G50" s="2145"/>
      <c r="H50" s="2145"/>
      <c r="I50" s="2145"/>
      <c r="J50" s="2145"/>
      <c r="K50" s="2145"/>
      <c r="L50" s="2145"/>
      <c r="M50" s="2145"/>
      <c r="N50" s="2145"/>
      <c r="O50" s="975"/>
      <c r="P50" s="975"/>
    </row>
    <row r="51" spans="2:16" ht="12.75" customHeight="1" x14ac:dyDescent="0.2">
      <c r="B51" s="975"/>
      <c r="C51" s="975"/>
      <c r="D51" s="2145"/>
      <c r="E51" s="2145"/>
      <c r="F51" s="2145"/>
      <c r="G51" s="2145"/>
      <c r="H51" s="2145"/>
      <c r="I51" s="2145"/>
      <c r="J51" s="2145"/>
      <c r="K51" s="2145"/>
      <c r="L51" s="2145"/>
      <c r="M51" s="2145"/>
      <c r="N51" s="2145"/>
      <c r="O51" s="975"/>
      <c r="P51" s="975"/>
    </row>
    <row r="52" spans="2:16" ht="12.75" customHeight="1" x14ac:dyDescent="0.2">
      <c r="B52" s="975"/>
      <c r="C52" s="975"/>
      <c r="D52" s="2145"/>
      <c r="E52" s="2145"/>
      <c r="F52" s="2145"/>
      <c r="G52" s="2145"/>
      <c r="H52" s="2145"/>
      <c r="I52" s="2145"/>
      <c r="J52" s="2145"/>
      <c r="K52" s="2145"/>
      <c r="L52" s="2145"/>
      <c r="M52" s="2145"/>
      <c r="N52" s="2145"/>
      <c r="O52" s="975"/>
      <c r="P52" s="975"/>
    </row>
    <row r="53" spans="2:16" ht="12.75" customHeight="1" x14ac:dyDescent="0.2">
      <c r="B53" s="975"/>
      <c r="C53" s="975"/>
      <c r="D53" s="2145"/>
      <c r="E53" s="2145"/>
      <c r="F53" s="2145"/>
      <c r="G53" s="2145"/>
      <c r="H53" s="2145"/>
      <c r="I53" s="2145"/>
      <c r="J53" s="2145"/>
      <c r="K53" s="2145"/>
      <c r="L53" s="2145"/>
      <c r="M53" s="2145"/>
      <c r="N53" s="2145"/>
      <c r="O53" s="975"/>
      <c r="P53" s="975"/>
    </row>
    <row r="54" spans="2:16" ht="12.75" customHeight="1" x14ac:dyDescent="0.7">
      <c r="B54" s="975"/>
      <c r="C54" s="975"/>
      <c r="D54" s="978"/>
      <c r="E54" s="978"/>
      <c r="F54" s="978"/>
      <c r="G54" s="978"/>
      <c r="H54" s="978"/>
      <c r="I54" s="978"/>
      <c r="J54" s="978"/>
      <c r="K54" s="978"/>
      <c r="L54" s="978"/>
      <c r="M54" s="978"/>
      <c r="N54" s="978"/>
      <c r="O54" s="975"/>
      <c r="P54" s="975"/>
    </row>
    <row r="55" spans="2:16" ht="12.75" customHeight="1" x14ac:dyDescent="0.7">
      <c r="B55" s="975"/>
      <c r="C55" s="975"/>
      <c r="D55" s="978"/>
      <c r="E55" s="978"/>
      <c r="F55" s="978"/>
      <c r="G55" s="978"/>
      <c r="H55" s="978"/>
      <c r="I55" s="978"/>
      <c r="J55" s="978"/>
      <c r="K55" s="978"/>
      <c r="L55" s="978"/>
      <c r="M55" s="978"/>
      <c r="N55" s="978"/>
      <c r="O55" s="975"/>
      <c r="P55" s="975"/>
    </row>
    <row r="56" spans="2:16" x14ac:dyDescent="0.2">
      <c r="B56" s="975"/>
      <c r="C56" s="975"/>
      <c r="D56" s="975"/>
      <c r="E56" s="975"/>
      <c r="F56" s="975"/>
      <c r="G56" s="975"/>
      <c r="H56" s="975"/>
      <c r="I56" s="975"/>
      <c r="J56" s="975"/>
      <c r="K56" s="975"/>
      <c r="L56" s="975"/>
      <c r="M56" s="975"/>
      <c r="N56" s="975"/>
      <c r="O56" s="975"/>
      <c r="P56" s="975"/>
    </row>
    <row r="57" spans="2:16" x14ac:dyDescent="0.2">
      <c r="B57" s="975"/>
      <c r="C57" s="975"/>
      <c r="D57" s="975"/>
      <c r="E57" s="975"/>
      <c r="F57" s="975"/>
      <c r="G57" s="975"/>
      <c r="H57" s="975"/>
      <c r="I57" s="975"/>
      <c r="J57" s="975"/>
      <c r="K57" s="975"/>
      <c r="L57" s="975"/>
      <c r="M57" s="975"/>
      <c r="N57" s="975"/>
      <c r="O57" s="975"/>
      <c r="P57" s="975"/>
    </row>
    <row r="58" spans="2:16" x14ac:dyDescent="0.2">
      <c r="B58" s="975"/>
      <c r="C58" s="975"/>
      <c r="D58" s="975"/>
      <c r="E58" s="975"/>
      <c r="F58" s="975"/>
      <c r="G58" s="975"/>
      <c r="H58" s="975"/>
      <c r="I58" s="975"/>
      <c r="J58" s="975"/>
      <c r="K58" s="975"/>
      <c r="L58" s="975"/>
      <c r="M58" s="975"/>
      <c r="N58" s="975"/>
      <c r="O58" s="975"/>
      <c r="P58" s="975"/>
    </row>
    <row r="59" spans="2:16" x14ac:dyDescent="0.2">
      <c r="B59" s="975"/>
      <c r="C59" s="975"/>
      <c r="D59" s="975"/>
      <c r="E59" s="975"/>
      <c r="F59" s="975"/>
      <c r="G59" s="975"/>
      <c r="H59" s="975"/>
      <c r="I59" s="975"/>
      <c r="J59" s="975"/>
      <c r="K59" s="975"/>
      <c r="L59" s="975"/>
      <c r="M59" s="975"/>
      <c r="N59" s="975"/>
      <c r="O59" s="975"/>
      <c r="P59" s="975"/>
    </row>
    <row r="60" spans="2:16" ht="12.75" customHeight="1" x14ac:dyDescent="0.25">
      <c r="B60" s="975"/>
      <c r="C60" s="975"/>
      <c r="D60" s="2141" t="s">
        <v>60</v>
      </c>
      <c r="E60" s="2141"/>
      <c r="F60" s="2141"/>
      <c r="G60" s="2141"/>
      <c r="H60" s="2141"/>
      <c r="I60" s="2142" t="s">
        <v>185</v>
      </c>
      <c r="J60" s="2141" t="s">
        <v>435</v>
      </c>
      <c r="K60" s="2141"/>
      <c r="L60" s="2141"/>
      <c r="M60" s="2141"/>
      <c r="N60" s="2141"/>
      <c r="O60" s="979"/>
      <c r="P60" s="975"/>
    </row>
    <row r="61" spans="2:16" ht="12.75" customHeight="1" x14ac:dyDescent="0.25">
      <c r="B61" s="975"/>
      <c r="C61" s="975"/>
      <c r="D61" s="2141"/>
      <c r="E61" s="2141"/>
      <c r="F61" s="2141"/>
      <c r="G61" s="2141"/>
      <c r="H61" s="2141"/>
      <c r="I61" s="2142"/>
      <c r="J61" s="2141"/>
      <c r="K61" s="2141"/>
      <c r="L61" s="2141"/>
      <c r="M61" s="2141"/>
      <c r="N61" s="2141"/>
      <c r="O61" s="979"/>
      <c r="P61" s="975"/>
    </row>
    <row r="62" spans="2:16" ht="18" x14ac:dyDescent="0.25">
      <c r="B62" s="975"/>
      <c r="C62" s="975"/>
      <c r="D62" s="980"/>
      <c r="E62" s="980"/>
      <c r="F62" s="980"/>
      <c r="G62" s="980"/>
      <c r="H62" s="981"/>
      <c r="I62" s="981"/>
      <c r="J62" s="981"/>
      <c r="K62" s="981"/>
      <c r="L62" s="981"/>
      <c r="M62" s="981"/>
      <c r="N62" s="981"/>
      <c r="O62" s="979"/>
      <c r="P62" s="975"/>
    </row>
    <row r="63" spans="2:16" ht="12.75" customHeight="1" x14ac:dyDescent="0.25">
      <c r="B63" s="975"/>
      <c r="C63" s="975"/>
      <c r="D63" s="2141" t="s">
        <v>61</v>
      </c>
      <c r="E63" s="2141"/>
      <c r="F63" s="2141"/>
      <c r="G63" s="2141"/>
      <c r="H63" s="2141"/>
      <c r="I63" s="2142" t="s">
        <v>185</v>
      </c>
      <c r="J63" s="2141" t="s">
        <v>477</v>
      </c>
      <c r="K63" s="2141"/>
      <c r="L63" s="2141"/>
      <c r="M63" s="2141"/>
      <c r="N63" s="2141"/>
      <c r="O63" s="979"/>
      <c r="P63" s="975"/>
    </row>
    <row r="64" spans="2:16" ht="12.75" customHeight="1" x14ac:dyDescent="0.25">
      <c r="B64" s="975"/>
      <c r="C64" s="975"/>
      <c r="D64" s="2141"/>
      <c r="E64" s="2141"/>
      <c r="F64" s="2141"/>
      <c r="G64" s="2141"/>
      <c r="H64" s="2141"/>
      <c r="I64" s="2142"/>
      <c r="J64" s="2141"/>
      <c r="K64" s="2141"/>
      <c r="L64" s="2141"/>
      <c r="M64" s="2141"/>
      <c r="N64" s="2141"/>
      <c r="O64" s="979"/>
      <c r="P64" s="975"/>
    </row>
    <row r="65" spans="2:19" ht="18" x14ac:dyDescent="0.25">
      <c r="B65" s="975"/>
      <c r="C65" s="975"/>
      <c r="D65" s="980"/>
      <c r="E65" s="980"/>
      <c r="F65" s="980"/>
      <c r="G65" s="980"/>
      <c r="H65" s="980"/>
      <c r="I65" s="979"/>
      <c r="J65" s="2141" t="s">
        <v>478</v>
      </c>
      <c r="K65" s="2141"/>
      <c r="L65" s="2141"/>
      <c r="M65" s="2141"/>
      <c r="N65" s="2141"/>
      <c r="O65" s="979"/>
      <c r="P65" s="975"/>
    </row>
    <row r="66" spans="2:19" ht="18" x14ac:dyDescent="0.25">
      <c r="B66" s="975"/>
      <c r="C66" s="975"/>
      <c r="D66" s="980"/>
      <c r="E66" s="980"/>
      <c r="F66" s="980"/>
      <c r="G66" s="980"/>
      <c r="H66" s="980"/>
      <c r="I66" s="979"/>
      <c r="J66" s="982"/>
      <c r="K66" s="982"/>
      <c r="L66" s="982"/>
      <c r="M66" s="982"/>
      <c r="N66" s="982"/>
      <c r="O66" s="979"/>
      <c r="P66" s="975"/>
    </row>
    <row r="67" spans="2:19" ht="12.75" customHeight="1" x14ac:dyDescent="0.2">
      <c r="B67" s="975"/>
      <c r="C67" s="975"/>
      <c r="D67" s="2141" t="s">
        <v>8</v>
      </c>
      <c r="E67" s="2141"/>
      <c r="F67" s="2141"/>
      <c r="G67" s="2141"/>
      <c r="H67" s="2141"/>
      <c r="I67" s="2142" t="s">
        <v>185</v>
      </c>
      <c r="J67" s="2143">
        <f>'RECAP APBD'!K39</f>
        <v>8064624386</v>
      </c>
      <c r="K67" s="2143"/>
      <c r="L67" s="2143"/>
      <c r="M67" s="2143"/>
      <c r="N67" s="2143"/>
      <c r="O67" s="975"/>
      <c r="P67" s="975"/>
      <c r="S67" s="782"/>
    </row>
    <row r="68" spans="2:19" ht="12.75" customHeight="1" x14ac:dyDescent="0.2">
      <c r="B68" s="975"/>
      <c r="C68" s="975"/>
      <c r="D68" s="2141"/>
      <c r="E68" s="2141"/>
      <c r="F68" s="2141"/>
      <c r="G68" s="2141"/>
      <c r="H68" s="2141"/>
      <c r="I68" s="2142"/>
      <c r="J68" s="2143"/>
      <c r="K68" s="2143"/>
      <c r="L68" s="2143"/>
      <c r="M68" s="2143"/>
      <c r="N68" s="2143"/>
      <c r="O68" s="975"/>
      <c r="P68" s="975"/>
    </row>
    <row r="69" spans="2:19" x14ac:dyDescent="0.2">
      <c r="B69" s="975"/>
      <c r="C69" s="975"/>
      <c r="D69" s="975"/>
      <c r="E69" s="975"/>
      <c r="F69" s="975"/>
      <c r="G69" s="975"/>
      <c r="H69" s="975"/>
      <c r="I69" s="975"/>
      <c r="J69" s="975"/>
      <c r="K69" s="975"/>
      <c r="L69" s="975"/>
      <c r="M69" s="975"/>
      <c r="N69" s="975"/>
      <c r="O69" s="975"/>
      <c r="P69" s="975"/>
      <c r="S69" s="782"/>
    </row>
    <row r="70" spans="2:19" x14ac:dyDescent="0.2">
      <c r="B70" s="975"/>
      <c r="C70" s="975"/>
      <c r="D70" s="975"/>
      <c r="E70" s="975"/>
      <c r="F70" s="975"/>
      <c r="G70" s="975"/>
      <c r="H70" s="975"/>
      <c r="I70" s="975"/>
      <c r="J70" s="975"/>
      <c r="K70" s="975"/>
      <c r="L70" s="975"/>
      <c r="M70" s="975"/>
      <c r="N70" s="975"/>
      <c r="O70" s="975"/>
      <c r="P70" s="975"/>
    </row>
    <row r="71" spans="2:19" x14ac:dyDescent="0.2">
      <c r="B71" s="975"/>
      <c r="C71" s="975"/>
      <c r="D71" s="975"/>
      <c r="E71" s="975"/>
      <c r="F71" s="975"/>
      <c r="G71" s="975"/>
      <c r="H71" s="975"/>
      <c r="I71" s="975"/>
      <c r="J71" s="975"/>
      <c r="K71" s="975"/>
      <c r="L71" s="975"/>
      <c r="M71" s="975"/>
      <c r="N71" s="975"/>
      <c r="O71" s="975"/>
      <c r="P71" s="975"/>
    </row>
    <row r="72" spans="2:19" x14ac:dyDescent="0.2">
      <c r="B72" s="975"/>
      <c r="C72" s="975"/>
      <c r="D72" s="975"/>
      <c r="E72" s="975"/>
      <c r="F72" s="975"/>
      <c r="G72" s="975"/>
      <c r="H72" s="975"/>
      <c r="I72" s="975"/>
      <c r="J72" s="975"/>
      <c r="K72" s="975"/>
      <c r="L72" s="975"/>
      <c r="M72" s="975"/>
      <c r="N72" s="975"/>
      <c r="O72" s="975"/>
      <c r="P72" s="975"/>
    </row>
    <row r="73" spans="2:19" x14ac:dyDescent="0.2">
      <c r="B73" s="2140"/>
      <c r="C73" s="2140"/>
      <c r="D73" s="975"/>
      <c r="E73" s="975"/>
      <c r="F73" s="975"/>
      <c r="G73" s="975"/>
      <c r="H73" s="975"/>
      <c r="I73" s="975"/>
      <c r="J73" s="975"/>
      <c r="K73" s="975"/>
      <c r="L73" s="975"/>
      <c r="M73" s="975"/>
      <c r="N73" s="975"/>
      <c r="O73" s="2144"/>
      <c r="P73" s="2144"/>
    </row>
    <row r="74" spans="2:19" x14ac:dyDescent="0.2">
      <c r="B74" s="2140"/>
      <c r="C74" s="2140"/>
      <c r="D74" s="2140"/>
      <c r="E74" s="2140"/>
      <c r="F74" s="975"/>
      <c r="G74" s="975"/>
      <c r="H74" s="975"/>
      <c r="I74" s="975"/>
      <c r="J74" s="975"/>
      <c r="K74" s="975"/>
      <c r="L74" s="975"/>
      <c r="M74" s="975"/>
      <c r="N74" s="975"/>
      <c r="O74" s="975"/>
      <c r="P74" s="975"/>
    </row>
  </sheetData>
  <mergeCells count="19">
    <mergeCell ref="C29:O30"/>
    <mergeCell ref="D33:N34"/>
    <mergeCell ref="D35:N36"/>
    <mergeCell ref="D37:N38"/>
    <mergeCell ref="J65:N65"/>
    <mergeCell ref="D46:N53"/>
    <mergeCell ref="D60:H61"/>
    <mergeCell ref="I60:I61"/>
    <mergeCell ref="J60:N61"/>
    <mergeCell ref="O73:P73"/>
    <mergeCell ref="B74:E74"/>
    <mergeCell ref="H45:L45"/>
    <mergeCell ref="D67:H68"/>
    <mergeCell ref="I67:I68"/>
    <mergeCell ref="J67:N68"/>
    <mergeCell ref="B73:C73"/>
    <mergeCell ref="D63:H64"/>
    <mergeCell ref="I63:I64"/>
    <mergeCell ref="J63:N64"/>
  </mergeCells>
  <phoneticPr fontId="14" type="noConversion"/>
  <pageMargins left="0.72" right="0.23622047244094491" top="0.66" bottom="0.19685039370078741" header="0.79" footer="0.19685039370078741"/>
  <pageSetup paperSize="5" scale="90" orientation="portrait" horizontalDpi="4294967293"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X114"/>
  <sheetViews>
    <sheetView view="pageBreakPreview" topLeftCell="G45" zoomScale="70" zoomScaleSheetLayoutView="70" workbookViewId="0">
      <selection activeCell="O73" sqref="O73"/>
    </sheetView>
  </sheetViews>
  <sheetFormatPr defaultColWidth="9.140625" defaultRowHeight="12.75" x14ac:dyDescent="0.2"/>
  <cols>
    <col min="1" max="1" width="6" style="1261" customWidth="1"/>
    <col min="2" max="11" width="2.7109375" style="1261" customWidth="1"/>
    <col min="12" max="12" width="47.5703125" style="1261" customWidth="1"/>
    <col min="13" max="13" width="10.85546875" style="1261" customWidth="1"/>
    <col min="14" max="14" width="10.5703125" style="1261" customWidth="1"/>
    <col min="15" max="15" width="13.5703125" style="1261" customWidth="1"/>
    <col min="16" max="17" width="16.5703125" style="1261" customWidth="1"/>
    <col min="18" max="18" width="15.140625" style="1261" customWidth="1"/>
    <col min="19" max="19" width="24.42578125" style="1261" customWidth="1"/>
    <col min="20" max="20" width="4.5703125" style="1261" customWidth="1"/>
    <col min="21" max="21" width="2" style="1261" customWidth="1"/>
    <col min="22" max="22" width="10.42578125" style="1261" customWidth="1"/>
    <col min="23" max="23" width="13.140625" style="1261" customWidth="1"/>
    <col min="24" max="24" width="16" style="1261" customWidth="1"/>
    <col min="25" max="25" width="12.5703125" style="1261" bestFit="1" customWidth="1"/>
    <col min="26" max="26" width="12.140625" style="1261" customWidth="1"/>
    <col min="27" max="16384" width="9.140625" style="1261"/>
  </cols>
  <sheetData>
    <row r="1" spans="2:17" ht="13.5" thickBot="1" x14ac:dyDescent="0.25"/>
    <row r="2" spans="2:17" ht="18.95" customHeight="1" thickTop="1" x14ac:dyDescent="0.2">
      <c r="B2" s="209"/>
      <c r="C2" s="210"/>
      <c r="D2" s="210"/>
      <c r="E2" s="210"/>
      <c r="F2" s="2623" t="s">
        <v>182</v>
      </c>
      <c r="G2" s="2623"/>
      <c r="H2" s="2623"/>
      <c r="I2" s="2623"/>
      <c r="J2" s="2623"/>
      <c r="K2" s="2623"/>
      <c r="L2" s="2623"/>
      <c r="M2" s="2623"/>
      <c r="N2" s="2623"/>
      <c r="O2" s="2624"/>
      <c r="P2" s="2625" t="s">
        <v>67</v>
      </c>
      <c r="Q2" s="510"/>
    </row>
    <row r="3" spans="2:17" ht="18.95" customHeight="1" x14ac:dyDescent="0.2">
      <c r="B3" s="211"/>
      <c r="C3" s="212"/>
      <c r="D3" s="212"/>
      <c r="E3" s="212"/>
      <c r="F3" s="2627" t="s">
        <v>183</v>
      </c>
      <c r="G3" s="2627"/>
      <c r="H3" s="2627"/>
      <c r="I3" s="2627"/>
      <c r="J3" s="2627"/>
      <c r="K3" s="2627"/>
      <c r="L3" s="2627"/>
      <c r="M3" s="2627"/>
      <c r="N3" s="2627"/>
      <c r="O3" s="2628"/>
      <c r="P3" s="2626"/>
      <c r="Q3" s="510"/>
    </row>
    <row r="4" spans="2:17" ht="12.95" customHeight="1" x14ac:dyDescent="0.2">
      <c r="B4" s="2629" t="s">
        <v>33</v>
      </c>
      <c r="C4" s="2630"/>
      <c r="D4" s="2630"/>
      <c r="E4" s="2630"/>
      <c r="F4" s="2630"/>
      <c r="G4" s="2630"/>
      <c r="H4" s="2630"/>
      <c r="I4" s="2630"/>
      <c r="J4" s="2630"/>
      <c r="K4" s="2630"/>
      <c r="L4" s="2630"/>
      <c r="M4" s="2630"/>
      <c r="N4" s="2630"/>
      <c r="O4" s="2631"/>
      <c r="P4" s="2632" t="s">
        <v>30</v>
      </c>
      <c r="Q4" s="511"/>
    </row>
    <row r="5" spans="2:17" ht="12.95" customHeight="1" thickBot="1" x14ac:dyDescent="0.25">
      <c r="B5" s="2634" t="str">
        <f>'RECAP APBD'!B5:F5</f>
        <v>Tahun Anggaran 2020</v>
      </c>
      <c r="C5" s="2635"/>
      <c r="D5" s="2635"/>
      <c r="E5" s="2635"/>
      <c r="F5" s="2635"/>
      <c r="G5" s="2635"/>
      <c r="H5" s="2635"/>
      <c r="I5" s="2635"/>
      <c r="J5" s="2635"/>
      <c r="K5" s="2635"/>
      <c r="L5" s="2635"/>
      <c r="M5" s="2635"/>
      <c r="N5" s="2635"/>
      <c r="O5" s="2636"/>
      <c r="P5" s="2633"/>
      <c r="Q5" s="511"/>
    </row>
    <row r="6" spans="2:17" s="715" customFormat="1" ht="12.95" customHeight="1" x14ac:dyDescent="0.2">
      <c r="B6" s="2462" t="s">
        <v>453</v>
      </c>
      <c r="C6" s="2463"/>
      <c r="D6" s="2463"/>
      <c r="E6" s="2463"/>
      <c r="F6" s="2463"/>
      <c r="G6" s="2463"/>
      <c r="H6" s="2463"/>
      <c r="I6" s="2463"/>
      <c r="J6" s="2463"/>
      <c r="K6" s="2463"/>
      <c r="L6" s="1524" t="s">
        <v>442</v>
      </c>
      <c r="M6" s="2213" t="s">
        <v>437</v>
      </c>
      <c r="N6" s="2213"/>
      <c r="O6" s="2213"/>
      <c r="P6" s="2214"/>
      <c r="Q6" s="296"/>
    </row>
    <row r="7" spans="2:17" s="715" customFormat="1" ht="12.95" customHeight="1" x14ac:dyDescent="0.2">
      <c r="B7" s="2471" t="s">
        <v>19</v>
      </c>
      <c r="C7" s="2355"/>
      <c r="D7" s="2355"/>
      <c r="E7" s="2355"/>
      <c r="F7" s="2355"/>
      <c r="G7" s="2355"/>
      <c r="H7" s="2355"/>
      <c r="I7" s="2355"/>
      <c r="J7" s="2355"/>
      <c r="K7" s="2355"/>
      <c r="L7" s="330" t="s">
        <v>672</v>
      </c>
      <c r="M7" s="2541" t="s">
        <v>466</v>
      </c>
      <c r="N7" s="2541"/>
      <c r="O7" s="2541"/>
      <c r="P7" s="2542"/>
      <c r="Q7" s="512"/>
    </row>
    <row r="8" spans="2:17" ht="12.95" customHeight="1" x14ac:dyDescent="0.2">
      <c r="B8" s="2637" t="s">
        <v>32</v>
      </c>
      <c r="C8" s="2638"/>
      <c r="D8" s="2638"/>
      <c r="E8" s="2638"/>
      <c r="F8" s="2638"/>
      <c r="G8" s="2638"/>
      <c r="H8" s="2638"/>
      <c r="I8" s="2638"/>
      <c r="J8" s="2638"/>
      <c r="K8" s="2638"/>
      <c r="L8" s="1091" t="s">
        <v>497</v>
      </c>
      <c r="M8" s="2639" t="s">
        <v>946</v>
      </c>
      <c r="N8" s="2639"/>
      <c r="O8" s="2639"/>
      <c r="P8" s="2640"/>
      <c r="Q8" s="2122"/>
    </row>
    <row r="9" spans="2:17" ht="29.1" customHeight="1" x14ac:dyDescent="0.2">
      <c r="B9" s="2699" t="s">
        <v>20</v>
      </c>
      <c r="C9" s="2700"/>
      <c r="D9" s="2700"/>
      <c r="E9" s="2700"/>
      <c r="F9" s="2700"/>
      <c r="G9" s="2700"/>
      <c r="H9" s="2700"/>
      <c r="I9" s="2700"/>
      <c r="J9" s="2700"/>
      <c r="K9" s="2700"/>
      <c r="L9" s="1681" t="s">
        <v>584</v>
      </c>
      <c r="M9" s="2701" t="s">
        <v>585</v>
      </c>
      <c r="N9" s="2701"/>
      <c r="O9" s="2701"/>
      <c r="P9" s="2702"/>
      <c r="Q9" s="2123"/>
    </row>
    <row r="10" spans="2:17" ht="42" customHeight="1" x14ac:dyDescent="0.2">
      <c r="B10" s="2652" t="s">
        <v>221</v>
      </c>
      <c r="C10" s="2653"/>
      <c r="D10" s="2653"/>
      <c r="E10" s="2653"/>
      <c r="F10" s="2653"/>
      <c r="G10" s="2653"/>
      <c r="H10" s="2653"/>
      <c r="I10" s="2653"/>
      <c r="J10" s="2653"/>
      <c r="K10" s="2653"/>
      <c r="L10" s="2654" t="s">
        <v>917</v>
      </c>
      <c r="M10" s="2654"/>
      <c r="N10" s="2654"/>
      <c r="O10" s="2654"/>
      <c r="P10" s="2655"/>
      <c r="Q10" s="2124"/>
    </row>
    <row r="11" spans="2:17" ht="12.95" customHeight="1" x14ac:dyDescent="0.2">
      <c r="B11" s="2637" t="s">
        <v>222</v>
      </c>
      <c r="C11" s="2638"/>
      <c r="D11" s="2638"/>
      <c r="E11" s="2638"/>
      <c r="F11" s="2638"/>
      <c r="G11" s="2638"/>
      <c r="H11" s="2638"/>
      <c r="I11" s="2638"/>
      <c r="J11" s="2638"/>
      <c r="K11" s="2638"/>
      <c r="L11" s="213">
        <v>0</v>
      </c>
      <c r="M11" s="213"/>
      <c r="N11" s="213"/>
      <c r="O11" s="213"/>
      <c r="P11" s="214"/>
      <c r="Q11" s="516"/>
    </row>
    <row r="12" spans="2:17" ht="12.95" customHeight="1" x14ac:dyDescent="0.2">
      <c r="B12" s="2637" t="s">
        <v>223</v>
      </c>
      <c r="C12" s="2638"/>
      <c r="D12" s="2638"/>
      <c r="E12" s="2638"/>
      <c r="F12" s="2638"/>
      <c r="G12" s="2638"/>
      <c r="H12" s="2638"/>
      <c r="I12" s="2638"/>
      <c r="J12" s="2638"/>
      <c r="K12" s="2638"/>
      <c r="L12" s="371">
        <f>+P29</f>
        <v>0</v>
      </c>
      <c r="M12" s="213"/>
      <c r="N12" s="213"/>
      <c r="O12" s="213"/>
      <c r="P12" s="214"/>
      <c r="Q12" s="516"/>
    </row>
    <row r="13" spans="2:17" ht="12.95" customHeight="1" x14ac:dyDescent="0.2">
      <c r="B13" s="2637" t="s">
        <v>224</v>
      </c>
      <c r="C13" s="2638"/>
      <c r="D13" s="2638"/>
      <c r="E13" s="2638"/>
      <c r="F13" s="2638"/>
      <c r="G13" s="2638"/>
      <c r="H13" s="2638"/>
      <c r="I13" s="2638"/>
      <c r="J13" s="2638"/>
      <c r="K13" s="2638"/>
      <c r="L13" s="152">
        <f>L12+(L12*5%)</f>
        <v>0</v>
      </c>
      <c r="M13" s="213"/>
      <c r="N13" s="213"/>
      <c r="O13" s="213"/>
      <c r="P13" s="214"/>
      <c r="Q13" s="516"/>
    </row>
    <row r="14" spans="2:17" ht="12.95" customHeight="1" x14ac:dyDescent="0.2">
      <c r="B14" s="2656" t="s">
        <v>225</v>
      </c>
      <c r="C14" s="2657"/>
      <c r="D14" s="2657"/>
      <c r="E14" s="2657"/>
      <c r="F14" s="2657"/>
      <c r="G14" s="2657"/>
      <c r="H14" s="2657"/>
      <c r="I14" s="2657"/>
      <c r="J14" s="2657"/>
      <c r="K14" s="2657"/>
      <c r="L14" s="2657"/>
      <c r="M14" s="2657"/>
      <c r="N14" s="2657"/>
      <c r="O14" s="2657"/>
      <c r="P14" s="2658"/>
      <c r="Q14" s="517"/>
    </row>
    <row r="15" spans="2:17" ht="12.95" customHeight="1" x14ac:dyDescent="0.2">
      <c r="B15" s="2656" t="s">
        <v>36</v>
      </c>
      <c r="C15" s="2657"/>
      <c r="D15" s="2657"/>
      <c r="E15" s="2657"/>
      <c r="F15" s="2657"/>
      <c r="G15" s="2657"/>
      <c r="H15" s="2657"/>
      <c r="I15" s="2657"/>
      <c r="J15" s="2657"/>
      <c r="K15" s="2659"/>
      <c r="L15" s="2660" t="s">
        <v>226</v>
      </c>
      <c r="M15" s="2657"/>
      <c r="N15" s="2659"/>
      <c r="O15" s="2660" t="s">
        <v>227</v>
      </c>
      <c r="P15" s="2658"/>
      <c r="Q15" s="517"/>
    </row>
    <row r="16" spans="2:17" ht="12.95" customHeight="1" x14ac:dyDescent="0.2">
      <c r="B16" s="2641" t="s">
        <v>37</v>
      </c>
      <c r="C16" s="2642"/>
      <c r="D16" s="2642"/>
      <c r="E16" s="2642"/>
      <c r="F16" s="2642"/>
      <c r="G16" s="2642"/>
      <c r="H16" s="2642"/>
      <c r="I16" s="2642"/>
      <c r="J16" s="2642"/>
      <c r="K16" s="2643"/>
      <c r="L16" s="2644" t="s">
        <v>776</v>
      </c>
      <c r="M16" s="2503"/>
      <c r="N16" s="2645"/>
      <c r="O16" s="2646">
        <v>1</v>
      </c>
      <c r="P16" s="2647"/>
      <c r="Q16" s="518"/>
    </row>
    <row r="17" spans="2:19" ht="12.95" customHeight="1" x14ac:dyDescent="0.2">
      <c r="B17" s="2641" t="s">
        <v>228</v>
      </c>
      <c r="C17" s="2642"/>
      <c r="D17" s="2642"/>
      <c r="E17" s="2642"/>
      <c r="F17" s="2642"/>
      <c r="G17" s="2642"/>
      <c r="H17" s="2642"/>
      <c r="I17" s="2642"/>
      <c r="J17" s="2642"/>
      <c r="K17" s="2643"/>
      <c r="L17" s="2228" t="s">
        <v>287</v>
      </c>
      <c r="M17" s="2228"/>
      <c r="N17" s="2577"/>
      <c r="O17" s="2661">
        <f>P29</f>
        <v>0</v>
      </c>
      <c r="P17" s="2662"/>
      <c r="Q17" s="1427"/>
    </row>
    <row r="18" spans="2:19" ht="12.95" customHeight="1" x14ac:dyDescent="0.2">
      <c r="B18" s="2641" t="s">
        <v>229</v>
      </c>
      <c r="C18" s="2642"/>
      <c r="D18" s="2642"/>
      <c r="E18" s="2642"/>
      <c r="F18" s="2642"/>
      <c r="G18" s="2642"/>
      <c r="H18" s="2642"/>
      <c r="I18" s="2642"/>
      <c r="J18" s="2642"/>
      <c r="K18" s="2643"/>
      <c r="L18" s="2644" t="s">
        <v>777</v>
      </c>
      <c r="M18" s="2503"/>
      <c r="N18" s="2645"/>
      <c r="O18" s="2646" t="s">
        <v>690</v>
      </c>
      <c r="P18" s="2647"/>
      <c r="Q18" s="518"/>
    </row>
    <row r="19" spans="2:19" ht="12.95" customHeight="1" x14ac:dyDescent="0.2">
      <c r="B19" s="2641" t="s">
        <v>230</v>
      </c>
      <c r="C19" s="2642"/>
      <c r="D19" s="2642"/>
      <c r="E19" s="2642"/>
      <c r="F19" s="2642"/>
      <c r="G19" s="2642"/>
      <c r="H19" s="2642"/>
      <c r="I19" s="2642"/>
      <c r="J19" s="2642"/>
      <c r="K19" s="2643"/>
      <c r="L19" s="2644" t="s">
        <v>778</v>
      </c>
      <c r="M19" s="2663"/>
      <c r="N19" s="2664"/>
      <c r="O19" s="2646">
        <v>0.15</v>
      </c>
      <c r="P19" s="2647"/>
      <c r="Q19" s="518"/>
    </row>
    <row r="20" spans="2:19" ht="6.95" customHeight="1" x14ac:dyDescent="0.2">
      <c r="B20" s="2665"/>
      <c r="C20" s="2666"/>
      <c r="D20" s="2666"/>
      <c r="E20" s="2666"/>
      <c r="F20" s="2666"/>
      <c r="G20" s="2666"/>
      <c r="H20" s="2666"/>
      <c r="I20" s="2666"/>
      <c r="J20" s="2666"/>
      <c r="K20" s="2666"/>
      <c r="L20" s="2666"/>
      <c r="M20" s="2666"/>
      <c r="N20" s="2666"/>
      <c r="O20" s="2666"/>
      <c r="P20" s="2667"/>
      <c r="Q20" s="2125"/>
    </row>
    <row r="21" spans="2:19" ht="12.95" customHeight="1" x14ac:dyDescent="0.2">
      <c r="B21" s="2668" t="s">
        <v>541</v>
      </c>
      <c r="C21" s="2669"/>
      <c r="D21" s="2669"/>
      <c r="E21" s="2669"/>
      <c r="F21" s="2669"/>
      <c r="G21" s="2669"/>
      <c r="H21" s="2669"/>
      <c r="I21" s="2669"/>
      <c r="J21" s="2669"/>
      <c r="K21" s="2669"/>
      <c r="L21" s="2669"/>
      <c r="M21" s="2669"/>
      <c r="N21" s="2669"/>
      <c r="O21" s="2669"/>
      <c r="P21" s="2670"/>
      <c r="Q21" s="519"/>
    </row>
    <row r="22" spans="2:19" ht="12.95" customHeight="1" x14ac:dyDescent="0.2">
      <c r="B22" s="2487" t="s">
        <v>231</v>
      </c>
      <c r="C22" s="2488"/>
      <c r="D22" s="2488"/>
      <c r="E22" s="2488"/>
      <c r="F22" s="2488"/>
      <c r="G22" s="2488"/>
      <c r="H22" s="2488"/>
      <c r="I22" s="2488"/>
      <c r="J22" s="2488"/>
      <c r="K22" s="2488"/>
      <c r="L22" s="2488"/>
      <c r="M22" s="2488"/>
      <c r="N22" s="2488"/>
      <c r="O22" s="2488"/>
      <c r="P22" s="2489"/>
      <c r="Q22" s="520"/>
    </row>
    <row r="23" spans="2:19" ht="12.95" customHeight="1" x14ac:dyDescent="0.2">
      <c r="B23" s="2490" t="s">
        <v>38</v>
      </c>
      <c r="C23" s="2491"/>
      <c r="D23" s="2491"/>
      <c r="E23" s="2491"/>
      <c r="F23" s="2491"/>
      <c r="G23" s="2491"/>
      <c r="H23" s="2491"/>
      <c r="I23" s="2491"/>
      <c r="J23" s="2491"/>
      <c r="K23" s="2491"/>
      <c r="L23" s="2491"/>
      <c r="M23" s="2491"/>
      <c r="N23" s="2491"/>
      <c r="O23" s="2491"/>
      <c r="P23" s="2492"/>
      <c r="Q23" s="520"/>
    </row>
    <row r="24" spans="2:19" ht="12.95" customHeight="1" x14ac:dyDescent="0.2">
      <c r="B24" s="2673"/>
      <c r="C24" s="2674"/>
      <c r="D24" s="2674"/>
      <c r="E24" s="2674"/>
      <c r="F24" s="2674"/>
      <c r="G24" s="2674"/>
      <c r="H24" s="2674"/>
      <c r="I24" s="2674"/>
      <c r="J24" s="2674"/>
      <c r="K24" s="2675"/>
      <c r="L24" s="2676" t="s">
        <v>191</v>
      </c>
      <c r="M24" s="2679" t="s">
        <v>198</v>
      </c>
      <c r="N24" s="2680"/>
      <c r="O24" s="2681"/>
      <c r="P24" s="1262"/>
      <c r="Q24" s="1308"/>
    </row>
    <row r="25" spans="2:19" ht="12.95" customHeight="1" x14ac:dyDescent="0.2">
      <c r="B25" s="2682" t="s">
        <v>189</v>
      </c>
      <c r="C25" s="2683"/>
      <c r="D25" s="2683"/>
      <c r="E25" s="2683"/>
      <c r="F25" s="2683"/>
      <c r="G25" s="2683"/>
      <c r="H25" s="2683"/>
      <c r="I25" s="2683"/>
      <c r="J25" s="2683"/>
      <c r="K25" s="2684"/>
      <c r="L25" s="2677"/>
      <c r="M25" s="2685" t="s">
        <v>200</v>
      </c>
      <c r="N25" s="2676" t="s">
        <v>26</v>
      </c>
      <c r="O25" s="2676" t="s">
        <v>217</v>
      </c>
      <c r="P25" s="215" t="s">
        <v>192</v>
      </c>
      <c r="Q25" s="2033"/>
    </row>
    <row r="26" spans="2:19" ht="12.95" customHeight="1" x14ac:dyDescent="0.2">
      <c r="B26" s="2682" t="s">
        <v>197</v>
      </c>
      <c r="C26" s="2683"/>
      <c r="D26" s="2683"/>
      <c r="E26" s="2683"/>
      <c r="F26" s="2683"/>
      <c r="G26" s="2683"/>
      <c r="H26" s="2683"/>
      <c r="I26" s="2683"/>
      <c r="J26" s="2683"/>
      <c r="K26" s="2684"/>
      <c r="L26" s="2677"/>
      <c r="M26" s="2686"/>
      <c r="N26" s="2677"/>
      <c r="O26" s="2677"/>
      <c r="P26" s="215" t="s">
        <v>193</v>
      </c>
      <c r="Q26" s="2033"/>
    </row>
    <row r="27" spans="2:19" ht="12.95" customHeight="1" x14ac:dyDescent="0.2">
      <c r="B27" s="2688"/>
      <c r="C27" s="2689"/>
      <c r="D27" s="2689"/>
      <c r="E27" s="2689"/>
      <c r="F27" s="2689"/>
      <c r="G27" s="2689"/>
      <c r="H27" s="2689"/>
      <c r="I27" s="2689"/>
      <c r="J27" s="2689"/>
      <c r="K27" s="2690"/>
      <c r="L27" s="2678"/>
      <c r="M27" s="2687"/>
      <c r="N27" s="2678"/>
      <c r="O27" s="2678"/>
      <c r="P27" s="1263"/>
      <c r="Q27" s="1429"/>
    </row>
    <row r="28" spans="2:19" ht="12.95" customHeight="1" thickBot="1" x14ac:dyDescent="0.25">
      <c r="B28" s="2691">
        <v>1</v>
      </c>
      <c r="C28" s="2692"/>
      <c r="D28" s="2692"/>
      <c r="E28" s="2692"/>
      <c r="F28" s="2692"/>
      <c r="G28" s="2692"/>
      <c r="H28" s="2692"/>
      <c r="I28" s="2692"/>
      <c r="J28" s="2692"/>
      <c r="K28" s="2693"/>
      <c r="L28" s="1086">
        <v>2</v>
      </c>
      <c r="M28" s="1086">
        <v>3</v>
      </c>
      <c r="N28" s="1086">
        <v>4</v>
      </c>
      <c r="O28" s="216">
        <v>5</v>
      </c>
      <c r="P28" s="217" t="s">
        <v>24</v>
      </c>
      <c r="Q28" s="2033"/>
    </row>
    <row r="29" spans="2:19" ht="12.95" customHeight="1" thickTop="1" x14ac:dyDescent="0.2">
      <c r="B29" s="218">
        <v>1</v>
      </c>
      <c r="C29" s="219" t="s">
        <v>498</v>
      </c>
      <c r="D29" s="219" t="s">
        <v>142</v>
      </c>
      <c r="E29" s="220"/>
      <c r="F29" s="221"/>
      <c r="G29" s="222">
        <v>5</v>
      </c>
      <c r="H29" s="222">
        <v>2</v>
      </c>
      <c r="I29" s="221"/>
      <c r="J29" s="221"/>
      <c r="K29" s="221"/>
      <c r="L29" s="223" t="s">
        <v>108</v>
      </c>
      <c r="M29" s="224"/>
      <c r="N29" s="225"/>
      <c r="O29" s="226"/>
      <c r="P29" s="645">
        <f>P30</f>
        <v>0</v>
      </c>
      <c r="Q29" s="1431">
        <v>75164880</v>
      </c>
      <c r="R29" s="1309">
        <f>L11</f>
        <v>0</v>
      </c>
      <c r="S29" s="1264"/>
    </row>
    <row r="30" spans="2:19" ht="26.1" customHeight="1" x14ac:dyDescent="0.2">
      <c r="B30" s="218">
        <v>1</v>
      </c>
      <c r="C30" s="219" t="s">
        <v>498</v>
      </c>
      <c r="D30" s="219" t="s">
        <v>142</v>
      </c>
      <c r="E30" s="227">
        <v>15</v>
      </c>
      <c r="F30" s="219"/>
      <c r="G30" s="222"/>
      <c r="H30" s="222"/>
      <c r="I30" s="221"/>
      <c r="J30" s="221"/>
      <c r="K30" s="221"/>
      <c r="L30" s="1410" t="s">
        <v>571</v>
      </c>
      <c r="M30" s="1411"/>
      <c r="N30" s="225"/>
      <c r="O30" s="226"/>
      <c r="P30" s="646">
        <f>P31</f>
        <v>0</v>
      </c>
      <c r="Q30" s="2126"/>
      <c r="R30" s="1223">
        <f>P29-R29</f>
        <v>0</v>
      </c>
      <c r="S30" s="1223"/>
    </row>
    <row r="31" spans="2:19" ht="26.1" customHeight="1" x14ac:dyDescent="0.2">
      <c r="B31" s="467">
        <v>1</v>
      </c>
      <c r="C31" s="468" t="s">
        <v>498</v>
      </c>
      <c r="D31" s="468" t="s">
        <v>142</v>
      </c>
      <c r="E31" s="469">
        <v>15</v>
      </c>
      <c r="F31" s="469" t="s">
        <v>145</v>
      </c>
      <c r="G31" s="222"/>
      <c r="H31" s="222"/>
      <c r="I31" s="221"/>
      <c r="J31" s="221"/>
      <c r="K31" s="219"/>
      <c r="L31" s="455" t="s">
        <v>586</v>
      </c>
      <c r="M31" s="1411"/>
      <c r="N31" s="225"/>
      <c r="O31" s="226"/>
      <c r="P31" s="646">
        <f>P33+P50</f>
        <v>0</v>
      </c>
      <c r="Q31" s="2126"/>
    </row>
    <row r="32" spans="2:19" ht="12.95" customHeight="1" x14ac:dyDescent="0.2">
      <c r="B32" s="218"/>
      <c r="C32" s="219"/>
      <c r="D32" s="219"/>
      <c r="E32" s="227"/>
      <c r="F32" s="219"/>
      <c r="G32" s="222"/>
      <c r="H32" s="222"/>
      <c r="I32" s="221"/>
      <c r="J32" s="221"/>
      <c r="K32" s="219"/>
      <c r="L32" s="1310"/>
      <c r="M32" s="1404"/>
      <c r="N32" s="231"/>
      <c r="O32" s="232"/>
      <c r="P32" s="645"/>
      <c r="Q32" s="1431"/>
    </row>
    <row r="33" spans="2:18" ht="12.95" customHeight="1" x14ac:dyDescent="0.2">
      <c r="B33" s="218">
        <v>1</v>
      </c>
      <c r="C33" s="219" t="s">
        <v>498</v>
      </c>
      <c r="D33" s="219" t="s">
        <v>142</v>
      </c>
      <c r="E33" s="227">
        <v>15</v>
      </c>
      <c r="F33" s="227" t="s">
        <v>145</v>
      </c>
      <c r="G33" s="222">
        <v>5</v>
      </c>
      <c r="H33" s="222">
        <v>2</v>
      </c>
      <c r="I33" s="221">
        <v>1</v>
      </c>
      <c r="J33" s="221"/>
      <c r="K33" s="221"/>
      <c r="L33" s="233" t="s">
        <v>86</v>
      </c>
      <c r="M33" s="1405"/>
      <c r="N33" s="1266"/>
      <c r="O33" s="1267"/>
      <c r="P33" s="645">
        <f>P34</f>
        <v>0</v>
      </c>
      <c r="Q33" s="1431"/>
    </row>
    <row r="34" spans="2:18" ht="12.95" customHeight="1" x14ac:dyDescent="0.2">
      <c r="B34" s="218">
        <v>1</v>
      </c>
      <c r="C34" s="219" t="s">
        <v>498</v>
      </c>
      <c r="D34" s="219" t="s">
        <v>142</v>
      </c>
      <c r="E34" s="227">
        <v>15</v>
      </c>
      <c r="F34" s="227" t="s">
        <v>145</v>
      </c>
      <c r="G34" s="222">
        <v>5</v>
      </c>
      <c r="H34" s="222">
        <v>2</v>
      </c>
      <c r="I34" s="221">
        <v>1</v>
      </c>
      <c r="J34" s="219" t="s">
        <v>142</v>
      </c>
      <c r="K34" s="221"/>
      <c r="L34" s="234" t="s">
        <v>159</v>
      </c>
      <c r="M34" s="1405"/>
      <c r="N34" s="1268"/>
      <c r="O34" s="1269"/>
      <c r="P34" s="645">
        <f>P35+P38</f>
        <v>0</v>
      </c>
      <c r="Q34" s="1431"/>
    </row>
    <row r="35" spans="2:18" ht="12.95" customHeight="1" x14ac:dyDescent="0.2">
      <c r="B35" s="218">
        <v>1</v>
      </c>
      <c r="C35" s="219" t="s">
        <v>498</v>
      </c>
      <c r="D35" s="219" t="s">
        <v>142</v>
      </c>
      <c r="E35" s="227">
        <v>15</v>
      </c>
      <c r="F35" s="227" t="s">
        <v>145</v>
      </c>
      <c r="G35" s="222">
        <v>5</v>
      </c>
      <c r="H35" s="222">
        <v>2</v>
      </c>
      <c r="I35" s="221">
        <v>1</v>
      </c>
      <c r="J35" s="219" t="s">
        <v>142</v>
      </c>
      <c r="K35" s="219" t="s">
        <v>142</v>
      </c>
      <c r="L35" s="322" t="s">
        <v>143</v>
      </c>
      <c r="M35" s="1343"/>
      <c r="N35" s="1271"/>
      <c r="O35" s="1272"/>
      <c r="P35" s="642">
        <f>SUM(P36:P36)</f>
        <v>0</v>
      </c>
      <c r="Q35" s="1445"/>
    </row>
    <row r="36" spans="2:18" ht="25.5" customHeight="1" x14ac:dyDescent="0.2">
      <c r="B36" s="218"/>
      <c r="C36" s="219"/>
      <c r="D36" s="219"/>
      <c r="E36" s="236"/>
      <c r="F36" s="219"/>
      <c r="G36" s="221"/>
      <c r="H36" s="221"/>
      <c r="I36" s="237"/>
      <c r="J36" s="238"/>
      <c r="K36" s="219"/>
      <c r="L36" s="239" t="s">
        <v>914</v>
      </c>
      <c r="M36" s="1392">
        <v>8</v>
      </c>
      <c r="N36" s="1570" t="s">
        <v>138</v>
      </c>
      <c r="O36" s="1571">
        <v>0</v>
      </c>
      <c r="P36" s="1572">
        <f>O36*M36</f>
        <v>0</v>
      </c>
      <c r="Q36" s="1457"/>
    </row>
    <row r="37" spans="2:18" ht="12.95" customHeight="1" x14ac:dyDescent="0.2">
      <c r="B37" s="218"/>
      <c r="C37" s="219"/>
      <c r="D37" s="219"/>
      <c r="E37" s="236"/>
      <c r="F37" s="219"/>
      <c r="G37" s="221"/>
      <c r="H37" s="221"/>
      <c r="I37" s="237"/>
      <c r="J37" s="238"/>
      <c r="K37" s="219"/>
      <c r="L37" s="240"/>
      <c r="M37" s="1392"/>
      <c r="N37" s="1224"/>
      <c r="O37" s="1311"/>
      <c r="P37" s="1231"/>
      <c r="Q37" s="1453"/>
    </row>
    <row r="38" spans="2:18" ht="12.95" customHeight="1" x14ac:dyDescent="0.2">
      <c r="B38" s="218">
        <v>1</v>
      </c>
      <c r="C38" s="219" t="s">
        <v>498</v>
      </c>
      <c r="D38" s="219" t="s">
        <v>142</v>
      </c>
      <c r="E38" s="227">
        <v>15</v>
      </c>
      <c r="F38" s="227" t="s">
        <v>145</v>
      </c>
      <c r="G38" s="222">
        <v>5</v>
      </c>
      <c r="H38" s="222">
        <v>2</v>
      </c>
      <c r="I38" s="221">
        <v>1</v>
      </c>
      <c r="J38" s="219" t="s">
        <v>142</v>
      </c>
      <c r="K38" s="219" t="s">
        <v>181</v>
      </c>
      <c r="L38" s="322" t="s">
        <v>542</v>
      </c>
      <c r="M38" s="1392"/>
      <c r="N38" s="1230"/>
      <c r="O38" s="1224"/>
      <c r="P38" s="644">
        <f>P39+P45</f>
        <v>0</v>
      </c>
      <c r="Q38" s="2127"/>
    </row>
    <row r="39" spans="2:18" ht="12.95" customHeight="1" x14ac:dyDescent="0.2">
      <c r="B39" s="218"/>
      <c r="C39" s="219"/>
      <c r="D39" s="219"/>
      <c r="E39" s="236"/>
      <c r="F39" s="219"/>
      <c r="G39" s="221"/>
      <c r="H39" s="221"/>
      <c r="I39" s="222"/>
      <c r="J39" s="323"/>
      <c r="K39" s="219"/>
      <c r="L39" s="235" t="s">
        <v>915</v>
      </c>
      <c r="M39" s="1392"/>
      <c r="N39" s="1230"/>
      <c r="O39" s="1232"/>
      <c r="P39" s="1231">
        <f>SUM(P40:P44)</f>
        <v>0</v>
      </c>
      <c r="Q39" s="1453"/>
      <c r="R39" s="1223"/>
    </row>
    <row r="40" spans="2:18" s="1889" customFormat="1" ht="12.95" customHeight="1" x14ac:dyDescent="0.2">
      <c r="B40" s="411"/>
      <c r="C40" s="412"/>
      <c r="D40" s="412"/>
      <c r="E40" s="418"/>
      <c r="F40" s="412"/>
      <c r="G40" s="414"/>
      <c r="H40" s="414"/>
      <c r="I40" s="413"/>
      <c r="J40" s="1924"/>
      <c r="K40" s="412"/>
      <c r="L40" s="1925" t="s">
        <v>1034</v>
      </c>
      <c r="M40" s="1392">
        <f>2*6</f>
        <v>12</v>
      </c>
      <c r="N40" s="1224" t="s">
        <v>138</v>
      </c>
      <c r="O40" s="1311">
        <v>0</v>
      </c>
      <c r="P40" s="1231">
        <f>M40*O40</f>
        <v>0</v>
      </c>
      <c r="Q40" s="1453"/>
    </row>
    <row r="41" spans="2:18" s="1889" customFormat="1" ht="12.95" customHeight="1" x14ac:dyDescent="0.2">
      <c r="B41" s="411"/>
      <c r="C41" s="412"/>
      <c r="D41" s="412"/>
      <c r="E41" s="418"/>
      <c r="F41" s="412"/>
      <c r="G41" s="414"/>
      <c r="H41" s="414"/>
      <c r="I41" s="413"/>
      <c r="J41" s="1924"/>
      <c r="K41" s="412"/>
      <c r="L41" s="639" t="s">
        <v>1035</v>
      </c>
      <c r="M41" s="1392">
        <f>1*6</f>
        <v>6</v>
      </c>
      <c r="N41" s="1224" t="s">
        <v>138</v>
      </c>
      <c r="O41" s="1311">
        <v>0</v>
      </c>
      <c r="P41" s="1231">
        <f>M41*O41</f>
        <v>0</v>
      </c>
      <c r="Q41" s="1453"/>
    </row>
    <row r="42" spans="2:18" s="1889" customFormat="1" ht="12.95" customHeight="1" x14ac:dyDescent="0.2">
      <c r="B42" s="411"/>
      <c r="C42" s="412"/>
      <c r="D42" s="412"/>
      <c r="E42" s="418"/>
      <c r="F42" s="412"/>
      <c r="G42" s="414"/>
      <c r="H42" s="414"/>
      <c r="I42" s="413"/>
      <c r="J42" s="1924"/>
      <c r="K42" s="412"/>
      <c r="L42" s="640" t="s">
        <v>1036</v>
      </c>
      <c r="M42" s="1392">
        <f>1*6</f>
        <v>6</v>
      </c>
      <c r="N42" s="1224" t="s">
        <v>138</v>
      </c>
      <c r="O42" s="1311">
        <v>0</v>
      </c>
      <c r="P42" s="1231">
        <f>M42*O42</f>
        <v>0</v>
      </c>
      <c r="Q42" s="1453"/>
    </row>
    <row r="43" spans="2:18" s="1889" customFormat="1" ht="12.95" customHeight="1" x14ac:dyDescent="0.2">
      <c r="B43" s="411"/>
      <c r="C43" s="412"/>
      <c r="D43" s="412"/>
      <c r="E43" s="418"/>
      <c r="F43" s="412"/>
      <c r="G43" s="414"/>
      <c r="H43" s="414"/>
      <c r="I43" s="413"/>
      <c r="J43" s="1924"/>
      <c r="K43" s="412"/>
      <c r="L43" s="640" t="s">
        <v>1063</v>
      </c>
      <c r="M43" s="1392">
        <f>2*6</f>
        <v>12</v>
      </c>
      <c r="N43" s="1224" t="s">
        <v>138</v>
      </c>
      <c r="O43" s="1311">
        <v>0</v>
      </c>
      <c r="P43" s="1231">
        <f>O43*M43</f>
        <v>0</v>
      </c>
      <c r="Q43" s="1453"/>
    </row>
    <row r="44" spans="2:18" s="1889" customFormat="1" ht="12.95" customHeight="1" x14ac:dyDescent="0.2">
      <c r="B44" s="411"/>
      <c r="C44" s="412"/>
      <c r="D44" s="412"/>
      <c r="E44" s="418"/>
      <c r="F44" s="412"/>
      <c r="G44" s="414"/>
      <c r="H44" s="414"/>
      <c r="I44" s="413"/>
      <c r="J44" s="1924"/>
      <c r="K44" s="412"/>
      <c r="L44" s="640" t="s">
        <v>1155</v>
      </c>
      <c r="M44" s="1392">
        <f>28*6</f>
        <v>168</v>
      </c>
      <c r="N44" s="1224" t="s">
        <v>138</v>
      </c>
      <c r="O44" s="1311">
        <v>0</v>
      </c>
      <c r="P44" s="1231">
        <f>O44*M44</f>
        <v>0</v>
      </c>
      <c r="Q44" s="1453"/>
    </row>
    <row r="45" spans="2:18" s="1889" customFormat="1" ht="25.5" customHeight="1" x14ac:dyDescent="0.2">
      <c r="B45" s="411"/>
      <c r="C45" s="412"/>
      <c r="D45" s="412"/>
      <c r="E45" s="418"/>
      <c r="F45" s="412"/>
      <c r="G45" s="414"/>
      <c r="H45" s="414"/>
      <c r="I45" s="414"/>
      <c r="J45" s="412"/>
      <c r="K45" s="412"/>
      <c r="L45" s="1926" t="s">
        <v>951</v>
      </c>
      <c r="M45" s="1392"/>
      <c r="N45" s="1224"/>
      <c r="O45" s="1311"/>
      <c r="P45" s="1572">
        <f>SUM(P46:P48)</f>
        <v>0</v>
      </c>
      <c r="Q45" s="1457"/>
    </row>
    <row r="46" spans="2:18" s="1889" customFormat="1" ht="12.95" customHeight="1" x14ac:dyDescent="0.2">
      <c r="B46" s="411"/>
      <c r="C46" s="412"/>
      <c r="D46" s="412"/>
      <c r="E46" s="418"/>
      <c r="F46" s="412"/>
      <c r="G46" s="414"/>
      <c r="H46" s="414"/>
      <c r="I46" s="414"/>
      <c r="J46" s="412"/>
      <c r="K46" s="412"/>
      <c r="L46" s="640" t="s">
        <v>1024</v>
      </c>
      <c r="M46" s="1392">
        <f>1*6</f>
        <v>6</v>
      </c>
      <c r="N46" s="1224" t="s">
        <v>138</v>
      </c>
      <c r="O46" s="1311">
        <v>0</v>
      </c>
      <c r="P46" s="1231">
        <f>O46*M46</f>
        <v>0</v>
      </c>
      <c r="Q46" s="1453"/>
    </row>
    <row r="47" spans="2:18" s="1889" customFormat="1" ht="12.95" customHeight="1" x14ac:dyDescent="0.2">
      <c r="B47" s="411"/>
      <c r="C47" s="412"/>
      <c r="D47" s="412"/>
      <c r="E47" s="418"/>
      <c r="F47" s="412"/>
      <c r="G47" s="414"/>
      <c r="H47" s="414"/>
      <c r="I47" s="414"/>
      <c r="J47" s="412"/>
      <c r="K47" s="412"/>
      <c r="L47" s="640" t="s">
        <v>1064</v>
      </c>
      <c r="M47" s="1392">
        <f>1*6</f>
        <v>6</v>
      </c>
      <c r="N47" s="1224" t="s">
        <v>138</v>
      </c>
      <c r="O47" s="1311">
        <v>0</v>
      </c>
      <c r="P47" s="1231">
        <f>O47*M47</f>
        <v>0</v>
      </c>
      <c r="Q47" s="1453"/>
    </row>
    <row r="48" spans="2:18" s="1889" customFormat="1" ht="12.95" customHeight="1" x14ac:dyDescent="0.2">
      <c r="B48" s="411"/>
      <c r="C48" s="412"/>
      <c r="D48" s="412"/>
      <c r="E48" s="418"/>
      <c r="F48" s="412"/>
      <c r="G48" s="414"/>
      <c r="H48" s="414"/>
      <c r="I48" s="414"/>
      <c r="J48" s="412"/>
      <c r="K48" s="412"/>
      <c r="L48" s="640" t="s">
        <v>1156</v>
      </c>
      <c r="M48" s="1392">
        <f>14*6</f>
        <v>84</v>
      </c>
      <c r="N48" s="1224" t="s">
        <v>138</v>
      </c>
      <c r="O48" s="1311">
        <v>0</v>
      </c>
      <c r="P48" s="1231">
        <f>O48*M48</f>
        <v>0</v>
      </c>
      <c r="Q48" s="1453"/>
    </row>
    <row r="49" spans="2:21" ht="12.95" customHeight="1" x14ac:dyDescent="0.2">
      <c r="B49" s="218"/>
      <c r="C49" s="219"/>
      <c r="D49" s="219"/>
      <c r="E49" s="236"/>
      <c r="F49" s="219"/>
      <c r="G49" s="221"/>
      <c r="H49" s="221"/>
      <c r="I49" s="221"/>
      <c r="J49" s="219"/>
      <c r="K49" s="219"/>
      <c r="L49" s="409"/>
      <c r="M49" s="1343"/>
      <c r="N49" s="1272"/>
      <c r="O49" s="1275"/>
      <c r="P49" s="1273"/>
      <c r="Q49" s="1436"/>
    </row>
    <row r="50" spans="2:21" ht="12.95" customHeight="1" x14ac:dyDescent="0.2">
      <c r="B50" s="218">
        <v>1</v>
      </c>
      <c r="C50" s="219" t="s">
        <v>498</v>
      </c>
      <c r="D50" s="219" t="s">
        <v>142</v>
      </c>
      <c r="E50" s="227">
        <v>15</v>
      </c>
      <c r="F50" s="227" t="s">
        <v>145</v>
      </c>
      <c r="G50" s="222">
        <v>5</v>
      </c>
      <c r="H50" s="222">
        <v>2</v>
      </c>
      <c r="I50" s="221">
        <v>2</v>
      </c>
      <c r="J50" s="221"/>
      <c r="K50" s="221"/>
      <c r="L50" s="241" t="s">
        <v>120</v>
      </c>
      <c r="M50" s="1406"/>
      <c r="N50" s="1272"/>
      <c r="O50" s="1276"/>
      <c r="P50" s="642">
        <f>P51+P66+P70</f>
        <v>0</v>
      </c>
      <c r="Q50" s="1445"/>
      <c r="R50" s="1223"/>
      <c r="S50" s="1277"/>
      <c r="U50" s="1278"/>
    </row>
    <row r="51" spans="2:21" ht="12.95" customHeight="1" x14ac:dyDescent="0.2">
      <c r="B51" s="218">
        <v>1</v>
      </c>
      <c r="C51" s="219" t="s">
        <v>498</v>
      </c>
      <c r="D51" s="219" t="s">
        <v>142</v>
      </c>
      <c r="E51" s="227">
        <v>15</v>
      </c>
      <c r="F51" s="227" t="s">
        <v>145</v>
      </c>
      <c r="G51" s="222">
        <v>5</v>
      </c>
      <c r="H51" s="222">
        <v>2</v>
      </c>
      <c r="I51" s="222">
        <v>2</v>
      </c>
      <c r="J51" s="219" t="s">
        <v>142</v>
      </c>
      <c r="K51" s="221"/>
      <c r="L51" s="242" t="s">
        <v>109</v>
      </c>
      <c r="M51" s="1406"/>
      <c r="N51" s="1279"/>
      <c r="O51" s="1280"/>
      <c r="P51" s="643">
        <f>P53</f>
        <v>0</v>
      </c>
      <c r="Q51" s="2128"/>
    </row>
    <row r="52" spans="2:21" ht="12.95" customHeight="1" x14ac:dyDescent="0.2">
      <c r="B52" s="218">
        <v>1</v>
      </c>
      <c r="C52" s="219" t="s">
        <v>498</v>
      </c>
      <c r="D52" s="219" t="s">
        <v>142</v>
      </c>
      <c r="E52" s="227">
        <v>15</v>
      </c>
      <c r="F52" s="227" t="s">
        <v>145</v>
      </c>
      <c r="G52" s="222">
        <v>5</v>
      </c>
      <c r="H52" s="222">
        <v>2</v>
      </c>
      <c r="I52" s="222">
        <v>2</v>
      </c>
      <c r="J52" s="219" t="s">
        <v>142</v>
      </c>
      <c r="K52" s="219" t="s">
        <v>142</v>
      </c>
      <c r="L52" s="243" t="s">
        <v>127</v>
      </c>
      <c r="M52" s="1406"/>
      <c r="N52" s="1272"/>
      <c r="O52" s="1276"/>
      <c r="P52" s="641">
        <f>P53</f>
        <v>0</v>
      </c>
      <c r="Q52" s="641"/>
      <c r="S52" s="1312"/>
    </row>
    <row r="53" spans="2:21" ht="12.95" customHeight="1" x14ac:dyDescent="0.2">
      <c r="B53" s="218"/>
      <c r="C53" s="219"/>
      <c r="D53" s="219"/>
      <c r="E53" s="236"/>
      <c r="F53" s="236"/>
      <c r="G53" s="221"/>
      <c r="H53" s="221"/>
      <c r="I53" s="221"/>
      <c r="J53" s="219"/>
      <c r="K53" s="219"/>
      <c r="L53" s="243" t="s">
        <v>916</v>
      </c>
      <c r="M53" s="1406"/>
      <c r="N53" s="1272"/>
      <c r="O53" s="1276"/>
      <c r="P53" s="1313">
        <f>SUM(P54:P64)</f>
        <v>0</v>
      </c>
      <c r="Q53" s="2129"/>
    </row>
    <row r="54" spans="2:21" ht="12.95" customHeight="1" x14ac:dyDescent="0.2">
      <c r="B54" s="218"/>
      <c r="C54" s="219"/>
      <c r="D54" s="219"/>
      <c r="E54" s="236"/>
      <c r="F54" s="236"/>
      <c r="G54" s="221"/>
      <c r="H54" s="221"/>
      <c r="I54" s="221"/>
      <c r="J54" s="219"/>
      <c r="K54" s="219"/>
      <c r="L54" s="325" t="s">
        <v>494</v>
      </c>
      <c r="M54" s="1406">
        <v>5</v>
      </c>
      <c r="N54" s="1271" t="s">
        <v>148</v>
      </c>
      <c r="O54" s="1274">
        <v>0</v>
      </c>
      <c r="P54" s="1282">
        <f t="shared" ref="P54:P64" si="0">O54*M54</f>
        <v>0</v>
      </c>
      <c r="Q54" s="1461"/>
      <c r="S54" s="1283"/>
    </row>
    <row r="55" spans="2:21" ht="12.95" customHeight="1" x14ac:dyDescent="0.2">
      <c r="B55" s="218"/>
      <c r="C55" s="219"/>
      <c r="D55" s="219"/>
      <c r="E55" s="236"/>
      <c r="F55" s="236"/>
      <c r="G55" s="221"/>
      <c r="H55" s="221"/>
      <c r="I55" s="221"/>
      <c r="J55" s="219"/>
      <c r="K55" s="219"/>
      <c r="L55" s="326" t="s">
        <v>357</v>
      </c>
      <c r="M55" s="1406">
        <v>2</v>
      </c>
      <c r="N55" s="1271" t="s">
        <v>604</v>
      </c>
      <c r="O55" s="1274">
        <v>0</v>
      </c>
      <c r="P55" s="1282">
        <f t="shared" si="0"/>
        <v>0</v>
      </c>
      <c r="Q55" s="1461"/>
      <c r="S55" s="1283"/>
    </row>
    <row r="56" spans="2:21" ht="12.95" customHeight="1" x14ac:dyDescent="0.2">
      <c r="B56" s="218"/>
      <c r="C56" s="219"/>
      <c r="D56" s="219"/>
      <c r="E56" s="236"/>
      <c r="F56" s="236"/>
      <c r="G56" s="221"/>
      <c r="H56" s="221"/>
      <c r="I56" s="221"/>
      <c r="J56" s="219"/>
      <c r="K56" s="219"/>
      <c r="L56" s="326" t="s">
        <v>1141</v>
      </c>
      <c r="M56" s="1406">
        <v>1</v>
      </c>
      <c r="N56" s="1271" t="s">
        <v>604</v>
      </c>
      <c r="O56" s="1274">
        <v>0</v>
      </c>
      <c r="P56" s="1282">
        <f t="shared" si="0"/>
        <v>0</v>
      </c>
      <c r="Q56" s="1461"/>
    </row>
    <row r="57" spans="2:21" ht="12.95" customHeight="1" x14ac:dyDescent="0.2">
      <c r="B57" s="218"/>
      <c r="C57" s="219"/>
      <c r="D57" s="219"/>
      <c r="E57" s="236"/>
      <c r="F57" s="236"/>
      <c r="G57" s="221"/>
      <c r="H57" s="221"/>
      <c r="I57" s="221"/>
      <c r="J57" s="219"/>
      <c r="K57" s="219"/>
      <c r="L57" s="326" t="s">
        <v>817</v>
      </c>
      <c r="M57" s="1406">
        <v>1</v>
      </c>
      <c r="N57" s="1271" t="s">
        <v>771</v>
      </c>
      <c r="O57" s="1274">
        <v>0</v>
      </c>
      <c r="P57" s="1282">
        <f t="shared" si="0"/>
        <v>0</v>
      </c>
      <c r="Q57" s="1461"/>
    </row>
    <row r="58" spans="2:21" ht="12.95" customHeight="1" x14ac:dyDescent="0.2">
      <c r="B58" s="218"/>
      <c r="C58" s="219"/>
      <c r="D58" s="219"/>
      <c r="E58" s="236"/>
      <c r="F58" s="236"/>
      <c r="G58" s="221"/>
      <c r="H58" s="221"/>
      <c r="I58" s="221"/>
      <c r="J58" s="219"/>
      <c r="K58" s="219"/>
      <c r="L58" s="326" t="s">
        <v>818</v>
      </c>
      <c r="M58" s="1406">
        <v>3</v>
      </c>
      <c r="N58" s="1271" t="s">
        <v>495</v>
      </c>
      <c r="O58" s="1274">
        <v>0</v>
      </c>
      <c r="P58" s="1282">
        <f t="shared" si="0"/>
        <v>0</v>
      </c>
      <c r="Q58" s="1461"/>
      <c r="S58" s="1223"/>
    </row>
    <row r="59" spans="2:21" ht="12.95" customHeight="1" x14ac:dyDescent="0.2">
      <c r="B59" s="218"/>
      <c r="C59" s="219"/>
      <c r="D59" s="219"/>
      <c r="E59" s="236"/>
      <c r="F59" s="236"/>
      <c r="G59" s="221"/>
      <c r="H59" s="221"/>
      <c r="I59" s="221"/>
      <c r="J59" s="219"/>
      <c r="K59" s="219"/>
      <c r="L59" s="326" t="s">
        <v>819</v>
      </c>
      <c r="M59" s="1406">
        <v>2</v>
      </c>
      <c r="N59" s="1271" t="s">
        <v>495</v>
      </c>
      <c r="O59" s="1274">
        <v>0</v>
      </c>
      <c r="P59" s="1282">
        <f t="shared" si="0"/>
        <v>0</v>
      </c>
      <c r="Q59" s="1461"/>
      <c r="S59" s="1223"/>
    </row>
    <row r="60" spans="2:21" ht="12.95" customHeight="1" x14ac:dyDescent="0.2">
      <c r="B60" s="218"/>
      <c r="C60" s="219"/>
      <c r="D60" s="219"/>
      <c r="E60" s="236"/>
      <c r="F60" s="236"/>
      <c r="G60" s="221"/>
      <c r="H60" s="221"/>
      <c r="I60" s="221"/>
      <c r="J60" s="219"/>
      <c r="K60" s="219"/>
      <c r="L60" s="326" t="s">
        <v>820</v>
      </c>
      <c r="M60" s="1406">
        <v>1</v>
      </c>
      <c r="N60" s="1271" t="s">
        <v>582</v>
      </c>
      <c r="O60" s="1274">
        <v>0</v>
      </c>
      <c r="P60" s="1282">
        <f t="shared" ref="P60:P62" si="1">O60*M60</f>
        <v>0</v>
      </c>
      <c r="Q60" s="1461"/>
      <c r="S60" s="1223"/>
    </row>
    <row r="61" spans="2:21" ht="12.95" customHeight="1" x14ac:dyDescent="0.2">
      <c r="B61" s="218"/>
      <c r="C61" s="219"/>
      <c r="D61" s="219"/>
      <c r="E61" s="236"/>
      <c r="F61" s="236"/>
      <c r="G61" s="221"/>
      <c r="H61" s="221"/>
      <c r="I61" s="221"/>
      <c r="J61" s="219"/>
      <c r="K61" s="219"/>
      <c r="L61" s="326" t="s">
        <v>1157</v>
      </c>
      <c r="M61" s="1406">
        <v>1</v>
      </c>
      <c r="N61" s="1271" t="s">
        <v>495</v>
      </c>
      <c r="O61" s="1274">
        <v>0</v>
      </c>
      <c r="P61" s="1282">
        <f t="shared" ref="P61" si="2">O61*M61</f>
        <v>0</v>
      </c>
      <c r="Q61" s="1461"/>
      <c r="S61" s="1223"/>
    </row>
    <row r="62" spans="2:21" ht="12.95" customHeight="1" x14ac:dyDescent="0.2">
      <c r="B62" s="218"/>
      <c r="C62" s="219"/>
      <c r="D62" s="219"/>
      <c r="E62" s="236"/>
      <c r="F62" s="236"/>
      <c r="G62" s="221"/>
      <c r="H62" s="221"/>
      <c r="I62" s="221"/>
      <c r="J62" s="219"/>
      <c r="K62" s="219"/>
      <c r="L62" s="326" t="s">
        <v>821</v>
      </c>
      <c r="M62" s="1406">
        <v>5</v>
      </c>
      <c r="N62" s="1271" t="s">
        <v>495</v>
      </c>
      <c r="O62" s="1274">
        <v>0</v>
      </c>
      <c r="P62" s="1282">
        <f t="shared" si="1"/>
        <v>0</v>
      </c>
      <c r="Q62" s="1461"/>
      <c r="S62" s="1223"/>
    </row>
    <row r="63" spans="2:21" ht="12.95" customHeight="1" x14ac:dyDescent="0.2">
      <c r="B63" s="218"/>
      <c r="C63" s="219"/>
      <c r="D63" s="219"/>
      <c r="E63" s="236"/>
      <c r="F63" s="219"/>
      <c r="G63" s="221"/>
      <c r="H63" s="221"/>
      <c r="I63" s="221"/>
      <c r="J63" s="221"/>
      <c r="K63" s="219"/>
      <c r="L63" s="325" t="s">
        <v>1142</v>
      </c>
      <c r="M63" s="1409">
        <v>2</v>
      </c>
      <c r="N63" s="1284" t="s">
        <v>495</v>
      </c>
      <c r="O63" s="1285">
        <v>0</v>
      </c>
      <c r="P63" s="1282">
        <f t="shared" si="0"/>
        <v>0</v>
      </c>
      <c r="Q63" s="1461"/>
    </row>
    <row r="64" spans="2:21" ht="12.95" customHeight="1" x14ac:dyDescent="0.2">
      <c r="B64" s="245"/>
      <c r="C64" s="246"/>
      <c r="D64" s="246"/>
      <c r="E64" s="247"/>
      <c r="F64" s="246"/>
      <c r="G64" s="248"/>
      <c r="H64" s="221"/>
      <c r="I64" s="221"/>
      <c r="J64" s="221"/>
      <c r="K64" s="246"/>
      <c r="L64" s="325" t="s">
        <v>1143</v>
      </c>
      <c r="M64" s="1409">
        <v>1</v>
      </c>
      <c r="N64" s="1284" t="s">
        <v>771</v>
      </c>
      <c r="O64" s="1285">
        <v>0</v>
      </c>
      <c r="P64" s="1282">
        <f t="shared" si="0"/>
        <v>0</v>
      </c>
      <c r="Q64" s="1461"/>
    </row>
    <row r="65" spans="2:24" ht="12.95" customHeight="1" x14ac:dyDescent="0.2">
      <c r="B65" s="245"/>
      <c r="C65" s="248"/>
      <c r="D65" s="248"/>
      <c r="E65" s="248"/>
      <c r="F65" s="248"/>
      <c r="G65" s="248"/>
      <c r="H65" s="222"/>
      <c r="I65" s="220"/>
      <c r="J65" s="250"/>
      <c r="K65" s="246"/>
      <c r="L65" s="249"/>
      <c r="M65" s="1406"/>
      <c r="N65" s="1271"/>
      <c r="O65" s="1292"/>
      <c r="P65" s="1273"/>
      <c r="Q65" s="1436"/>
    </row>
    <row r="66" spans="2:24" ht="12.95" customHeight="1" x14ac:dyDescent="0.2">
      <c r="B66" s="218">
        <v>1</v>
      </c>
      <c r="C66" s="219" t="s">
        <v>498</v>
      </c>
      <c r="D66" s="219" t="s">
        <v>142</v>
      </c>
      <c r="E66" s="227">
        <v>15</v>
      </c>
      <c r="F66" s="227" t="s">
        <v>145</v>
      </c>
      <c r="G66" s="222">
        <v>5</v>
      </c>
      <c r="H66" s="222">
        <v>2</v>
      </c>
      <c r="I66" s="222">
        <v>2</v>
      </c>
      <c r="J66" s="219" t="s">
        <v>144</v>
      </c>
      <c r="K66" s="221"/>
      <c r="L66" s="242" t="s">
        <v>115</v>
      </c>
      <c r="M66" s="1406"/>
      <c r="N66" s="1291"/>
      <c r="O66" s="1279"/>
      <c r="P66" s="642">
        <f>P67</f>
        <v>0</v>
      </c>
      <c r="Q66" s="1445"/>
    </row>
    <row r="67" spans="2:24" ht="12.95" customHeight="1" x14ac:dyDescent="0.2">
      <c r="B67" s="218">
        <v>1</v>
      </c>
      <c r="C67" s="219" t="s">
        <v>498</v>
      </c>
      <c r="D67" s="219" t="s">
        <v>142</v>
      </c>
      <c r="E67" s="227">
        <v>15</v>
      </c>
      <c r="F67" s="227" t="s">
        <v>145</v>
      </c>
      <c r="G67" s="222">
        <v>5</v>
      </c>
      <c r="H67" s="222">
        <v>2</v>
      </c>
      <c r="I67" s="222">
        <v>2</v>
      </c>
      <c r="J67" s="219" t="s">
        <v>144</v>
      </c>
      <c r="K67" s="219" t="s">
        <v>145</v>
      </c>
      <c r="L67" s="324" t="s">
        <v>121</v>
      </c>
      <c r="M67" s="1406"/>
      <c r="N67" s="1271"/>
      <c r="O67" s="1272"/>
      <c r="P67" s="1273">
        <f>SUM(P68:P68)</f>
        <v>0</v>
      </c>
      <c r="Q67" s="1436"/>
    </row>
    <row r="68" spans="2:24" ht="12.95" customHeight="1" x14ac:dyDescent="0.2">
      <c r="B68" s="218"/>
      <c r="C68" s="219"/>
      <c r="D68" s="219"/>
      <c r="E68" s="236"/>
      <c r="F68" s="219"/>
      <c r="G68" s="221"/>
      <c r="H68" s="221"/>
      <c r="I68" s="221"/>
      <c r="J68" s="221"/>
      <c r="K68" s="219"/>
      <c r="L68" s="244" t="s">
        <v>543</v>
      </c>
      <c r="M68" s="1409">
        <v>1500</v>
      </c>
      <c r="N68" s="1284" t="s">
        <v>113</v>
      </c>
      <c r="O68" s="1285">
        <v>0</v>
      </c>
      <c r="P68" s="1282">
        <f>O68*M68</f>
        <v>0</v>
      </c>
      <c r="Q68" s="1461"/>
    </row>
    <row r="69" spans="2:24" ht="12.95" customHeight="1" x14ac:dyDescent="0.2">
      <c r="B69" s="84"/>
      <c r="C69" s="69"/>
      <c r="D69" s="69"/>
      <c r="E69" s="70"/>
      <c r="F69" s="69"/>
      <c r="G69" s="39"/>
      <c r="H69" s="46"/>
      <c r="I69" s="1079"/>
      <c r="J69" s="1079"/>
      <c r="K69" s="69"/>
      <c r="L69" s="310"/>
      <c r="M69" s="1398"/>
      <c r="N69" s="185"/>
      <c r="O69" s="270"/>
      <c r="P69" s="1189"/>
      <c r="Q69" s="1188"/>
      <c r="R69" s="1281"/>
      <c r="S69" s="1289"/>
      <c r="T69" s="1289"/>
      <c r="U69" s="1289"/>
      <c r="V69" s="1290"/>
    </row>
    <row r="70" spans="2:24" ht="12.95" customHeight="1" x14ac:dyDescent="0.2">
      <c r="B70" s="218">
        <v>1</v>
      </c>
      <c r="C70" s="219" t="s">
        <v>498</v>
      </c>
      <c r="D70" s="219" t="s">
        <v>142</v>
      </c>
      <c r="E70" s="227">
        <v>15</v>
      </c>
      <c r="F70" s="227" t="s">
        <v>145</v>
      </c>
      <c r="G70" s="46">
        <v>5</v>
      </c>
      <c r="H70" s="46">
        <v>2</v>
      </c>
      <c r="I70" s="46">
        <v>2</v>
      </c>
      <c r="J70" s="33">
        <v>11</v>
      </c>
      <c r="K70" s="1079"/>
      <c r="L70" s="258" t="s">
        <v>295</v>
      </c>
      <c r="M70" s="1348"/>
      <c r="N70" s="1238"/>
      <c r="O70" s="1239"/>
      <c r="P70" s="269">
        <f>P71</f>
        <v>0</v>
      </c>
      <c r="Q70" s="1480"/>
      <c r="R70" s="1281"/>
      <c r="S70" s="403"/>
      <c r="T70" s="1187"/>
      <c r="U70" s="1187"/>
      <c r="V70" s="1187"/>
      <c r="W70" s="1187"/>
      <c r="X70" s="301"/>
    </row>
    <row r="71" spans="2:24" ht="12.95" customHeight="1" x14ac:dyDescent="0.2">
      <c r="B71" s="218">
        <v>1</v>
      </c>
      <c r="C71" s="219" t="s">
        <v>498</v>
      </c>
      <c r="D71" s="219" t="s">
        <v>142</v>
      </c>
      <c r="E71" s="227">
        <v>15</v>
      </c>
      <c r="F71" s="227" t="s">
        <v>145</v>
      </c>
      <c r="G71" s="46">
        <v>5</v>
      </c>
      <c r="H71" s="46">
        <v>2</v>
      </c>
      <c r="I71" s="46">
        <v>2</v>
      </c>
      <c r="J71" s="33">
        <v>11</v>
      </c>
      <c r="K71" s="33" t="s">
        <v>145</v>
      </c>
      <c r="L71" s="199" t="s">
        <v>544</v>
      </c>
      <c r="M71" s="1348"/>
      <c r="N71" s="266"/>
      <c r="O71" s="341"/>
      <c r="P71" s="267">
        <f>SUM(P72:P72)</f>
        <v>0</v>
      </c>
      <c r="Q71" s="1437"/>
      <c r="R71" s="1281"/>
      <c r="S71" s="404"/>
      <c r="T71" s="1187"/>
      <c r="U71" s="1187"/>
      <c r="V71" s="1187"/>
      <c r="W71" s="1187"/>
      <c r="X71" s="1188"/>
    </row>
    <row r="72" spans="2:24" ht="12.95" customHeight="1" x14ac:dyDescent="0.2">
      <c r="B72" s="84"/>
      <c r="C72" s="69"/>
      <c r="D72" s="69"/>
      <c r="E72" s="70"/>
      <c r="F72" s="70"/>
      <c r="G72" s="39"/>
      <c r="H72" s="46"/>
      <c r="I72" s="1079"/>
      <c r="J72" s="33"/>
      <c r="K72" s="69"/>
      <c r="L72" s="651" t="s">
        <v>1158</v>
      </c>
      <c r="M72" s="1409">
        <f>50*6</f>
        <v>300</v>
      </c>
      <c r="N72" s="1565" t="s">
        <v>300</v>
      </c>
      <c r="O72" s="1578">
        <v>0</v>
      </c>
      <c r="P72" s="636">
        <f>O72*M72</f>
        <v>0</v>
      </c>
      <c r="Q72" s="2099"/>
      <c r="R72" s="1281"/>
      <c r="S72" s="311"/>
      <c r="T72" s="1186"/>
      <c r="U72" s="1187"/>
      <c r="V72" s="1187"/>
      <c r="W72" s="1188"/>
      <c r="X72" s="1188"/>
    </row>
    <row r="73" spans="2:24" ht="12.95" customHeight="1" thickBot="1" x14ac:dyDescent="0.25">
      <c r="B73" s="245"/>
      <c r="C73" s="248"/>
      <c r="D73" s="248"/>
      <c r="E73" s="248"/>
      <c r="F73" s="248"/>
      <c r="G73" s="248"/>
      <c r="H73" s="327"/>
      <c r="I73" s="328"/>
      <c r="J73" s="329"/>
      <c r="K73" s="246"/>
      <c r="L73" s="249"/>
      <c r="M73" s="1406"/>
      <c r="N73" s="1271"/>
      <c r="O73" s="1292"/>
      <c r="P73" s="1293"/>
      <c r="Q73" s="1436"/>
    </row>
    <row r="74" spans="2:24" ht="12.95" customHeight="1" thickBot="1" x14ac:dyDescent="0.25">
      <c r="B74" s="110"/>
      <c r="C74" s="107"/>
      <c r="D74" s="107"/>
      <c r="E74" s="107"/>
      <c r="F74" s="107"/>
      <c r="G74" s="107"/>
      <c r="H74" s="107"/>
      <c r="I74" s="107"/>
      <c r="J74" s="107"/>
      <c r="K74" s="107"/>
      <c r="L74" s="107"/>
      <c r="M74" s="2620" t="s">
        <v>199</v>
      </c>
      <c r="N74" s="2620"/>
      <c r="O74" s="2621"/>
      <c r="P74" s="647">
        <f>P29</f>
        <v>0</v>
      </c>
      <c r="Q74" s="1488"/>
    </row>
    <row r="75" spans="2:24" ht="12.95" customHeight="1" x14ac:dyDescent="0.2">
      <c r="B75" s="1211"/>
      <c r="C75" s="1212"/>
      <c r="D75" s="1212"/>
      <c r="E75" s="1212"/>
      <c r="F75" s="1212"/>
      <c r="G75" s="1212"/>
      <c r="H75" s="1212"/>
      <c r="I75" s="1212"/>
      <c r="J75" s="1212"/>
      <c r="K75" s="1212"/>
      <c r="L75" s="1212"/>
      <c r="M75" s="1212"/>
      <c r="N75" s="1212"/>
      <c r="O75" s="1212"/>
      <c r="P75" s="1213"/>
      <c r="Q75" s="1488"/>
    </row>
    <row r="76" spans="2:24" ht="12.95" customHeight="1" x14ac:dyDescent="0.2">
      <c r="B76" s="1294"/>
      <c r="C76" s="1295"/>
      <c r="D76" s="1295"/>
      <c r="E76" s="1295"/>
      <c r="F76" s="1295"/>
      <c r="G76" s="1295"/>
      <c r="H76" s="1295"/>
      <c r="I76" s="1295"/>
      <c r="J76" s="1295"/>
      <c r="K76" s="1295"/>
      <c r="L76" s="1296"/>
      <c r="M76" s="2694" t="str">
        <f>'RECAP APBD'!E43</f>
        <v>Banda Aceh,                   2020</v>
      </c>
      <c r="N76" s="2694"/>
      <c r="O76" s="2694"/>
      <c r="P76" s="2695"/>
      <c r="Q76" s="2034"/>
    </row>
    <row r="77" spans="2:24" ht="12.95" customHeight="1" x14ac:dyDescent="0.2">
      <c r="B77" s="1294"/>
      <c r="C77" s="1295"/>
      <c r="D77" s="1295"/>
      <c r="E77" s="1295"/>
      <c r="F77" s="1295"/>
      <c r="G77" s="1295"/>
      <c r="H77" s="1295"/>
      <c r="I77" s="1295"/>
      <c r="J77" s="1295"/>
      <c r="K77" s="1295"/>
      <c r="L77" s="1295"/>
      <c r="M77" s="2683" t="str">
        <f>'RECAP APBD'!E44</f>
        <v>Pengguna Anggaran</v>
      </c>
      <c r="N77" s="2683"/>
      <c r="O77" s="2683"/>
      <c r="P77" s="2696"/>
      <c r="Q77" s="2033"/>
    </row>
    <row r="78" spans="2:24" ht="12.95" customHeight="1" x14ac:dyDescent="0.2">
      <c r="B78" s="1294"/>
      <c r="C78" s="1295"/>
      <c r="D78" s="1295"/>
      <c r="E78" s="1295"/>
      <c r="F78" s="1295"/>
      <c r="G78" s="1295"/>
      <c r="H78" s="1295"/>
      <c r="I78" s="1295"/>
      <c r="J78" s="1295"/>
      <c r="K78" s="1295"/>
      <c r="L78" s="1295"/>
      <c r="M78" s="2683" t="str">
        <f>'RECAP APBD'!E45</f>
        <v>Satuan Kerja Perangkat Daerah</v>
      </c>
      <c r="N78" s="2683"/>
      <c r="O78" s="2683"/>
      <c r="P78" s="2696"/>
      <c r="Q78" s="2033"/>
    </row>
    <row r="79" spans="2:24" ht="12.95" customHeight="1" x14ac:dyDescent="0.2">
      <c r="B79" s="1294"/>
      <c r="C79" s="1295"/>
      <c r="D79" s="1295"/>
      <c r="E79" s="1295"/>
      <c r="F79" s="1295"/>
      <c r="G79" s="1295"/>
      <c r="H79" s="1295"/>
      <c r="I79" s="1295"/>
      <c r="J79" s="1295"/>
      <c r="K79" s="1295"/>
      <c r="L79" s="1297"/>
      <c r="M79" s="1088"/>
      <c r="N79" s="2671"/>
      <c r="O79" s="2671"/>
      <c r="P79" s="2672"/>
      <c r="Q79" s="2032"/>
    </row>
    <row r="80" spans="2:24" ht="12.95" customHeight="1" x14ac:dyDescent="0.2">
      <c r="B80" s="1294"/>
      <c r="C80" s="1295"/>
      <c r="D80" s="1295"/>
      <c r="E80" s="1295"/>
      <c r="F80" s="1295"/>
      <c r="G80" s="1295"/>
      <c r="H80" s="1295"/>
      <c r="I80" s="1295"/>
      <c r="J80" s="1295"/>
      <c r="K80" s="1295"/>
      <c r="L80" s="1298"/>
      <c r="M80" s="1088"/>
      <c r="N80" s="2671"/>
      <c r="O80" s="2671"/>
      <c r="P80" s="2672"/>
      <c r="Q80" s="2032"/>
    </row>
    <row r="81" spans="2:21" ht="12.95" customHeight="1" x14ac:dyDescent="0.2">
      <c r="B81" s="1294"/>
      <c r="C81" s="1295"/>
      <c r="D81" s="1295"/>
      <c r="E81" s="1295"/>
      <c r="F81" s="1295"/>
      <c r="G81" s="1295"/>
      <c r="H81" s="1295"/>
      <c r="I81" s="1295"/>
      <c r="J81" s="1295"/>
      <c r="K81" s="1295"/>
      <c r="L81" s="1299"/>
      <c r="M81" s="2697" t="str">
        <f>'BAJU PDH'!M49</f>
        <v>Bustami, SH</v>
      </c>
      <c r="N81" s="2697"/>
      <c r="O81" s="2697"/>
      <c r="P81" s="2698"/>
      <c r="Q81" s="2035"/>
    </row>
    <row r="82" spans="2:21" ht="12.95" customHeight="1" x14ac:dyDescent="0.2">
      <c r="B82" s="1300"/>
      <c r="C82" s="1301"/>
      <c r="D82" s="1301"/>
      <c r="E82" s="1301"/>
      <c r="F82" s="1301"/>
      <c r="G82" s="1301"/>
      <c r="H82" s="1301"/>
      <c r="I82" s="1301"/>
      <c r="J82" s="1301"/>
      <c r="K82" s="1301"/>
      <c r="L82" s="1301"/>
      <c r="M82" s="2573" t="str">
        <f>'RECAP APBD'!E49</f>
        <v>Pembina Utama Muda / Nip. 19630824 198703 1 004</v>
      </c>
      <c r="N82" s="2573"/>
      <c r="O82" s="2573"/>
      <c r="P82" s="2574"/>
      <c r="Q82" s="2033"/>
      <c r="R82" s="1302"/>
      <c r="S82" s="1303"/>
      <c r="T82" s="1087"/>
      <c r="U82" s="1304"/>
    </row>
    <row r="83" spans="2:21" ht="12.95" customHeight="1" x14ac:dyDescent="0.2">
      <c r="B83" s="2501" t="s">
        <v>140</v>
      </c>
      <c r="C83" s="2502"/>
      <c r="D83" s="2502"/>
      <c r="E83" s="2502"/>
      <c r="F83" s="2502"/>
      <c r="G83" s="2502"/>
      <c r="H83" s="2502"/>
      <c r="I83" s="2502"/>
      <c r="J83" s="2502"/>
      <c r="K83" s="2502"/>
      <c r="L83" s="2502"/>
      <c r="M83" s="2513"/>
      <c r="N83" s="2513"/>
      <c r="O83" s="2513"/>
      <c r="P83" s="2514"/>
      <c r="Q83" s="571"/>
      <c r="R83" s="1302"/>
      <c r="S83" s="1303"/>
      <c r="T83" s="1297"/>
      <c r="U83" s="1304"/>
    </row>
    <row r="84" spans="2:21" ht="12.95" customHeight="1" x14ac:dyDescent="0.2">
      <c r="B84" s="2501" t="s">
        <v>22</v>
      </c>
      <c r="C84" s="2502"/>
      <c r="D84" s="2502"/>
      <c r="E84" s="2502"/>
      <c r="F84" s="2502"/>
      <c r="G84" s="2502"/>
      <c r="H84" s="2502"/>
      <c r="I84" s="2502"/>
      <c r="J84" s="2502"/>
      <c r="K84" s="2502"/>
      <c r="L84" s="2502"/>
      <c r="M84" s="251"/>
      <c r="N84" s="2508"/>
      <c r="O84" s="2508"/>
      <c r="P84" s="2509"/>
      <c r="Q84" s="1490"/>
      <c r="R84" s="1302"/>
      <c r="S84" s="1303"/>
      <c r="T84" s="1297"/>
      <c r="U84" s="1304"/>
    </row>
    <row r="85" spans="2:21" ht="12.95" customHeight="1" x14ac:dyDescent="0.2">
      <c r="B85" s="2501" t="s">
        <v>21</v>
      </c>
      <c r="C85" s="2502"/>
      <c r="D85" s="2502"/>
      <c r="E85" s="2502"/>
      <c r="F85" s="2502"/>
      <c r="G85" s="2502"/>
      <c r="H85" s="2502"/>
      <c r="I85" s="2502"/>
      <c r="J85" s="2502"/>
      <c r="K85" s="2502"/>
      <c r="L85" s="2502"/>
      <c r="M85" s="251"/>
      <c r="N85" s="2503"/>
      <c r="O85" s="2503"/>
      <c r="P85" s="2504"/>
      <c r="Q85" s="2034"/>
      <c r="R85" s="1305"/>
      <c r="S85" s="1306"/>
      <c r="T85" s="1297"/>
      <c r="U85" s="1304"/>
    </row>
    <row r="86" spans="2:21" ht="12.95" customHeight="1" x14ac:dyDescent="0.2">
      <c r="B86" s="2501" t="s">
        <v>204</v>
      </c>
      <c r="C86" s="2502"/>
      <c r="D86" s="2502"/>
      <c r="E86" s="2502"/>
      <c r="F86" s="2502"/>
      <c r="G86" s="2502"/>
      <c r="H86" s="2502"/>
      <c r="I86" s="2502"/>
      <c r="J86" s="2502"/>
      <c r="K86" s="2502"/>
      <c r="L86" s="2502"/>
      <c r="M86" s="2502"/>
      <c r="N86" s="2502"/>
      <c r="O86" s="2502"/>
      <c r="P86" s="2505"/>
      <c r="Q86" s="572"/>
      <c r="R86" s="1305"/>
      <c r="S86" s="1306"/>
      <c r="T86" s="1297"/>
      <c r="U86" s="1304"/>
    </row>
    <row r="87" spans="2:21" ht="12.95" customHeight="1" x14ac:dyDescent="0.2">
      <c r="B87" s="2501" t="s">
        <v>205</v>
      </c>
      <c r="C87" s="2502"/>
      <c r="D87" s="2502"/>
      <c r="E87" s="2502"/>
      <c r="F87" s="2502"/>
      <c r="G87" s="2502"/>
      <c r="H87" s="2502"/>
      <c r="I87" s="2502"/>
      <c r="J87" s="2502"/>
      <c r="K87" s="2502"/>
      <c r="L87" s="2502"/>
      <c r="M87" s="2502"/>
      <c r="N87" s="2502"/>
      <c r="O87" s="2502"/>
      <c r="P87" s="2505"/>
      <c r="Q87" s="572"/>
      <c r="R87" s="1305"/>
      <c r="S87" s="1306"/>
      <c r="T87" s="1297"/>
      <c r="U87" s="1307"/>
    </row>
    <row r="88" spans="2:21" ht="12.95" customHeight="1" thickBot="1" x14ac:dyDescent="0.25">
      <c r="B88" s="2517" t="s">
        <v>206</v>
      </c>
      <c r="C88" s="2518"/>
      <c r="D88" s="2518"/>
      <c r="E88" s="2518"/>
      <c r="F88" s="2518"/>
      <c r="G88" s="2518"/>
      <c r="H88" s="2518"/>
      <c r="I88" s="2518"/>
      <c r="J88" s="2518"/>
      <c r="K88" s="2518"/>
      <c r="L88" s="2518"/>
      <c r="M88" s="2518"/>
      <c r="N88" s="2518"/>
      <c r="O88" s="2518"/>
      <c r="P88" s="2519"/>
      <c r="Q88" s="572"/>
      <c r="R88" s="1305"/>
      <c r="S88" s="1306"/>
      <c r="T88" s="1297"/>
      <c r="U88" s="1307"/>
    </row>
    <row r="89" spans="2:21" ht="12.95" customHeight="1" thickTop="1" x14ac:dyDescent="0.2">
      <c r="B89" s="2523" t="s">
        <v>25</v>
      </c>
      <c r="C89" s="2524"/>
      <c r="D89" s="2524"/>
      <c r="E89" s="2524"/>
      <c r="F89" s="2524"/>
      <c r="G89" s="2524"/>
      <c r="H89" s="2524"/>
      <c r="I89" s="2524"/>
      <c r="J89" s="2524"/>
      <c r="K89" s="2524"/>
      <c r="L89" s="2524"/>
      <c r="M89" s="2524"/>
      <c r="N89" s="2524"/>
      <c r="O89" s="2524"/>
      <c r="P89" s="2525"/>
      <c r="Q89" s="2023"/>
    </row>
    <row r="90" spans="2:21" ht="12.95" customHeight="1" thickBot="1" x14ac:dyDescent="0.25">
      <c r="B90" s="2526" t="s">
        <v>207</v>
      </c>
      <c r="C90" s="2527"/>
      <c r="D90" s="2528" t="s">
        <v>208</v>
      </c>
      <c r="E90" s="2529"/>
      <c r="F90" s="2529"/>
      <c r="G90" s="2529"/>
      <c r="H90" s="2529"/>
      <c r="I90" s="2529"/>
      <c r="J90" s="2529"/>
      <c r="K90" s="2529"/>
      <c r="L90" s="2530"/>
      <c r="M90" s="2531" t="s">
        <v>209</v>
      </c>
      <c r="N90" s="2530"/>
      <c r="O90" s="4" t="s">
        <v>210</v>
      </c>
      <c r="P90" s="92" t="s">
        <v>211</v>
      </c>
      <c r="Q90" s="2027"/>
    </row>
    <row r="91" spans="2:21" ht="12.95" customHeight="1" thickTop="1" x14ac:dyDescent="0.2">
      <c r="B91" s="2535">
        <v>1</v>
      </c>
      <c r="C91" s="2536"/>
      <c r="D91" s="2532"/>
      <c r="E91" s="2533"/>
      <c r="F91" s="2533"/>
      <c r="G91" s="2533"/>
      <c r="H91" s="2533"/>
      <c r="I91" s="2533"/>
      <c r="J91" s="2533"/>
      <c r="K91" s="2533"/>
      <c r="L91" s="2534"/>
      <c r="M91" s="2538"/>
      <c r="N91" s="2539"/>
      <c r="O91" s="1073"/>
      <c r="P91" s="1177" t="s">
        <v>10</v>
      </c>
      <c r="Q91" s="1257"/>
    </row>
    <row r="92" spans="2:21" ht="12.95" customHeight="1" x14ac:dyDescent="0.2">
      <c r="B92" s="2522">
        <v>2</v>
      </c>
      <c r="C92" s="2240"/>
      <c r="D92" s="1116"/>
      <c r="E92" s="1117"/>
      <c r="F92" s="1117"/>
      <c r="G92" s="1117"/>
      <c r="H92" s="1117"/>
      <c r="I92" s="1117"/>
      <c r="J92" s="1117"/>
      <c r="K92" s="1117"/>
      <c r="L92" s="1118"/>
      <c r="M92" s="2442"/>
      <c r="N92" s="2247"/>
      <c r="O92" s="1085"/>
      <c r="P92" s="1177" t="s">
        <v>11</v>
      </c>
      <c r="Q92" s="1257"/>
    </row>
    <row r="93" spans="2:21" ht="12.95" customHeight="1" x14ac:dyDescent="0.2">
      <c r="B93" s="2522">
        <v>3</v>
      </c>
      <c r="C93" s="2240"/>
      <c r="D93" s="1116"/>
      <c r="E93" s="1117"/>
      <c r="F93" s="1117"/>
      <c r="G93" s="1117"/>
      <c r="H93" s="1117"/>
      <c r="I93" s="1117"/>
      <c r="J93" s="1117"/>
      <c r="K93" s="1117"/>
      <c r="L93" s="1118"/>
      <c r="M93" s="2442"/>
      <c r="N93" s="2247"/>
      <c r="O93" s="1085"/>
      <c r="P93" s="1177" t="s">
        <v>12</v>
      </c>
      <c r="Q93" s="1257"/>
    </row>
    <row r="94" spans="2:21" ht="12.95" customHeight="1" x14ac:dyDescent="0.2">
      <c r="B94" s="2522">
        <v>4</v>
      </c>
      <c r="C94" s="2240"/>
      <c r="D94" s="1116"/>
      <c r="E94" s="1117"/>
      <c r="F94" s="1117"/>
      <c r="G94" s="1117"/>
      <c r="H94" s="1117"/>
      <c r="I94" s="1117"/>
      <c r="J94" s="1117"/>
      <c r="K94" s="1117"/>
      <c r="L94" s="1118"/>
      <c r="M94" s="2443"/>
      <c r="N94" s="2253"/>
      <c r="O94" s="1085"/>
      <c r="P94" s="1177" t="s">
        <v>13</v>
      </c>
      <c r="Q94" s="1257"/>
    </row>
    <row r="95" spans="2:21" ht="12.95" customHeight="1" x14ac:dyDescent="0.2">
      <c r="B95" s="2522">
        <v>5</v>
      </c>
      <c r="C95" s="2240"/>
      <c r="D95" s="1116"/>
      <c r="E95" s="1117"/>
      <c r="F95" s="1117"/>
      <c r="G95" s="1117"/>
      <c r="H95" s="1117"/>
      <c r="I95" s="1117"/>
      <c r="J95" s="1117"/>
      <c r="K95" s="1117"/>
      <c r="L95" s="1118"/>
      <c r="M95" s="2443"/>
      <c r="N95" s="2253"/>
      <c r="O95" s="1085"/>
      <c r="P95" s="1177" t="s">
        <v>14</v>
      </c>
      <c r="Q95" s="1257"/>
    </row>
    <row r="96" spans="2:21" ht="12.95" customHeight="1" x14ac:dyDescent="0.2">
      <c r="B96" s="2522">
        <v>6</v>
      </c>
      <c r="C96" s="2240"/>
      <c r="D96" s="1116"/>
      <c r="E96" s="1117"/>
      <c r="F96" s="1117"/>
      <c r="G96" s="1117"/>
      <c r="H96" s="1117"/>
      <c r="I96" s="1117"/>
      <c r="J96" s="1117"/>
      <c r="K96" s="1117"/>
      <c r="L96" s="1118"/>
      <c r="M96" s="2443"/>
      <c r="N96" s="2253"/>
      <c r="O96" s="1085"/>
      <c r="P96" s="1178" t="s">
        <v>42</v>
      </c>
      <c r="Q96" s="2052"/>
    </row>
    <row r="97" spans="2:17" ht="12.95" customHeight="1" thickBot="1" x14ac:dyDescent="0.25">
      <c r="B97" s="2520">
        <v>7</v>
      </c>
      <c r="C97" s="2521"/>
      <c r="D97" s="1119"/>
      <c r="E97" s="1120"/>
      <c r="F97" s="1120"/>
      <c r="G97" s="1120"/>
      <c r="H97" s="1120"/>
      <c r="I97" s="1120"/>
      <c r="J97" s="1120"/>
      <c r="K97" s="1120"/>
      <c r="L97" s="1121"/>
      <c r="M97" s="2537"/>
      <c r="N97" s="2300"/>
      <c r="O97" s="1061"/>
      <c r="P97" s="1179" t="s">
        <v>487</v>
      </c>
      <c r="Q97" s="2053"/>
    </row>
    <row r="98" spans="2:17" ht="13.5" thickTop="1" x14ac:dyDescent="0.2">
      <c r="B98" s="1308"/>
      <c r="C98" s="1308"/>
      <c r="D98" s="1308"/>
      <c r="E98" s="1308"/>
      <c r="F98" s="1308"/>
      <c r="G98" s="1308"/>
      <c r="H98" s="1308"/>
      <c r="I98" s="1308"/>
      <c r="J98" s="1308"/>
      <c r="K98" s="1308"/>
      <c r="L98" s="1308"/>
      <c r="M98" s="1308"/>
      <c r="N98" s="1308"/>
      <c r="O98" s="1308"/>
      <c r="P98" s="1308"/>
      <c r="Q98" s="1308"/>
    </row>
    <row r="99" spans="2:17" x14ac:dyDescent="0.2">
      <c r="B99" s="1308"/>
      <c r="C99" s="1308"/>
      <c r="D99" s="1308"/>
      <c r="E99" s="1308"/>
      <c r="F99" s="1308"/>
      <c r="G99" s="1308"/>
      <c r="H99" s="1308"/>
      <c r="I99" s="1308"/>
      <c r="J99" s="1308"/>
      <c r="K99" s="1308"/>
      <c r="L99" s="1308"/>
      <c r="M99" s="1308"/>
      <c r="N99" s="1308"/>
      <c r="O99" s="1308"/>
      <c r="P99" s="1308"/>
      <c r="Q99" s="1308"/>
    </row>
    <row r="100" spans="2:17" x14ac:dyDescent="0.2">
      <c r="B100" s="1308"/>
      <c r="C100" s="1308"/>
      <c r="D100" s="1308"/>
      <c r="E100" s="1308"/>
      <c r="F100" s="1308"/>
      <c r="G100" s="1308"/>
      <c r="H100" s="1308"/>
      <c r="I100" s="1308"/>
      <c r="J100" s="1308"/>
      <c r="K100" s="1308"/>
      <c r="L100" s="1308"/>
      <c r="M100" s="1308"/>
      <c r="N100" s="1308"/>
      <c r="O100" s="1308"/>
      <c r="P100" s="1308"/>
      <c r="Q100" s="1308"/>
    </row>
    <row r="101" spans="2:17" x14ac:dyDescent="0.2">
      <c r="B101" s="1308"/>
      <c r="C101" s="1308"/>
      <c r="D101" s="1308"/>
      <c r="E101" s="1308"/>
      <c r="F101" s="1308"/>
      <c r="G101" s="1308"/>
      <c r="H101" s="1308"/>
      <c r="I101" s="1308"/>
      <c r="J101" s="1308"/>
      <c r="K101" s="1308"/>
      <c r="L101" s="1308"/>
      <c r="M101" s="1308"/>
      <c r="N101" s="1308"/>
      <c r="O101" s="1308"/>
      <c r="P101" s="1308"/>
      <c r="Q101" s="1308"/>
    </row>
    <row r="102" spans="2:17" x14ac:dyDescent="0.2">
      <c r="B102" s="1308"/>
      <c r="C102" s="1308"/>
      <c r="D102" s="1308"/>
      <c r="E102" s="1308"/>
      <c r="F102" s="1308"/>
      <c r="G102" s="1308"/>
      <c r="H102" s="1308"/>
      <c r="I102" s="1308"/>
      <c r="J102" s="1308"/>
      <c r="K102" s="1308"/>
      <c r="L102" s="1308"/>
      <c r="M102" s="1308"/>
      <c r="N102" s="1308"/>
      <c r="O102" s="1308"/>
      <c r="P102" s="1308"/>
      <c r="Q102" s="1308"/>
    </row>
    <row r="103" spans="2:17" x14ac:dyDescent="0.2">
      <c r="B103" s="1308"/>
      <c r="C103" s="1308"/>
      <c r="D103" s="1308"/>
      <c r="E103" s="1308"/>
      <c r="F103" s="1308"/>
      <c r="G103" s="1308"/>
      <c r="H103" s="1308"/>
      <c r="I103" s="1308"/>
      <c r="J103" s="1308"/>
      <c r="K103" s="1308"/>
      <c r="L103" s="1308"/>
      <c r="M103" s="1308"/>
      <c r="N103" s="1308"/>
      <c r="O103" s="1308"/>
      <c r="P103" s="1308"/>
      <c r="Q103" s="1308"/>
    </row>
    <row r="104" spans="2:17" x14ac:dyDescent="0.2">
      <c r="B104" s="1308"/>
      <c r="C104" s="1308"/>
      <c r="D104" s="1308"/>
      <c r="E104" s="1308"/>
      <c r="F104" s="1308"/>
      <c r="G104" s="1308"/>
      <c r="H104" s="1308"/>
      <c r="I104" s="1308"/>
      <c r="J104" s="1308"/>
      <c r="K104" s="1308"/>
      <c r="L104" s="1308"/>
      <c r="M104" s="1308"/>
      <c r="N104" s="1308"/>
      <c r="O104" s="1308"/>
      <c r="P104" s="1308"/>
      <c r="Q104" s="1308"/>
    </row>
    <row r="105" spans="2:17" x14ac:dyDescent="0.2">
      <c r="B105" s="1308"/>
      <c r="C105" s="1308"/>
      <c r="D105" s="1308"/>
      <c r="E105" s="1308"/>
      <c r="F105" s="1308"/>
      <c r="G105" s="1308"/>
      <c r="H105" s="1308"/>
      <c r="I105" s="1308"/>
      <c r="J105" s="1308"/>
      <c r="K105" s="1308"/>
      <c r="L105" s="1308"/>
      <c r="M105" s="1308"/>
      <c r="N105" s="1308"/>
      <c r="O105" s="1308"/>
      <c r="P105" s="1308"/>
      <c r="Q105" s="1308"/>
    </row>
    <row r="106" spans="2:17" x14ac:dyDescent="0.2">
      <c r="B106" s="1308"/>
      <c r="C106" s="1308"/>
      <c r="D106" s="1308"/>
      <c r="E106" s="1308"/>
      <c r="F106" s="1308"/>
      <c r="G106" s="1308"/>
      <c r="H106" s="1308"/>
      <c r="I106" s="1308"/>
      <c r="J106" s="1308"/>
      <c r="K106" s="1308"/>
      <c r="L106" s="1308"/>
      <c r="M106" s="1308"/>
      <c r="N106" s="1308"/>
      <c r="O106" s="1308"/>
      <c r="P106" s="1308"/>
      <c r="Q106" s="1308"/>
    </row>
    <row r="107" spans="2:17" x14ac:dyDescent="0.2">
      <c r="B107" s="1308"/>
      <c r="C107" s="1308"/>
      <c r="D107" s="1308"/>
      <c r="E107" s="1308"/>
      <c r="F107" s="1308"/>
      <c r="G107" s="1308"/>
      <c r="H107" s="1308"/>
      <c r="I107" s="1308"/>
      <c r="J107" s="1308"/>
      <c r="K107" s="1308"/>
      <c r="L107" s="1308"/>
      <c r="M107" s="1308"/>
      <c r="N107" s="1308"/>
      <c r="O107" s="1308"/>
      <c r="P107" s="1308"/>
      <c r="Q107" s="1308"/>
    </row>
    <row r="108" spans="2:17" x14ac:dyDescent="0.2">
      <c r="B108" s="1308"/>
      <c r="C108" s="1308"/>
      <c r="D108" s="1308"/>
      <c r="E108" s="1308"/>
      <c r="F108" s="1308"/>
      <c r="G108" s="1308"/>
      <c r="H108" s="1308"/>
      <c r="I108" s="1308"/>
      <c r="J108" s="1308"/>
      <c r="K108" s="1308"/>
      <c r="L108" s="1308"/>
      <c r="M108" s="1308"/>
      <c r="N108" s="1308"/>
      <c r="O108" s="1308"/>
      <c r="P108" s="1308"/>
      <c r="Q108" s="1308"/>
    </row>
    <row r="109" spans="2:17" x14ac:dyDescent="0.2">
      <c r="B109" s="1308"/>
      <c r="C109" s="1308"/>
      <c r="D109" s="1308"/>
      <c r="E109" s="1308"/>
      <c r="F109" s="1308"/>
      <c r="G109" s="1308"/>
      <c r="H109" s="1308"/>
      <c r="I109" s="1308"/>
      <c r="J109" s="1308"/>
      <c r="K109" s="1308"/>
      <c r="L109" s="1308"/>
      <c r="M109" s="1308"/>
      <c r="N109" s="1308"/>
      <c r="O109" s="1308"/>
      <c r="P109" s="1308"/>
      <c r="Q109" s="1308"/>
    </row>
    <row r="110" spans="2:17" x14ac:dyDescent="0.2">
      <c r="B110" s="1308"/>
      <c r="C110" s="1308"/>
      <c r="D110" s="1308"/>
      <c r="E110" s="1308"/>
      <c r="F110" s="1308"/>
      <c r="G110" s="1308"/>
      <c r="H110" s="1308"/>
      <c r="I110" s="1308"/>
      <c r="J110" s="1308"/>
      <c r="K110" s="1308"/>
      <c r="L110" s="1308"/>
      <c r="M110" s="1308"/>
      <c r="N110" s="1308"/>
      <c r="O110" s="1308"/>
      <c r="P110" s="1308"/>
      <c r="Q110" s="1308"/>
    </row>
    <row r="111" spans="2:17" x14ac:dyDescent="0.2">
      <c r="B111" s="1308"/>
      <c r="C111" s="1308"/>
      <c r="D111" s="1308"/>
      <c r="E111" s="1308"/>
      <c r="F111" s="1308"/>
      <c r="G111" s="1308"/>
      <c r="H111" s="1308"/>
      <c r="I111" s="1308"/>
      <c r="J111" s="1308"/>
      <c r="K111" s="1308"/>
      <c r="L111" s="1308"/>
      <c r="M111" s="1308"/>
      <c r="N111" s="1308"/>
      <c r="O111" s="1308"/>
      <c r="P111" s="1308"/>
      <c r="Q111" s="1308"/>
    </row>
    <row r="112" spans="2:17" x14ac:dyDescent="0.2">
      <c r="B112" s="1308"/>
      <c r="C112" s="1308"/>
      <c r="D112" s="1308"/>
      <c r="E112" s="1308"/>
      <c r="F112" s="1308"/>
      <c r="G112" s="1308"/>
      <c r="H112" s="1308"/>
      <c r="I112" s="1308"/>
      <c r="J112" s="1308"/>
      <c r="K112" s="1308"/>
      <c r="L112" s="1308"/>
      <c r="M112" s="1308"/>
      <c r="N112" s="1308"/>
      <c r="O112" s="1308"/>
      <c r="P112" s="1308"/>
      <c r="Q112" s="1308"/>
    </row>
    <row r="113" spans="2:17" x14ac:dyDescent="0.2">
      <c r="B113" s="1308"/>
      <c r="C113" s="1308"/>
      <c r="D113" s="1308"/>
      <c r="E113" s="1308"/>
      <c r="F113" s="1308"/>
      <c r="G113" s="1308"/>
      <c r="H113" s="1308"/>
      <c r="I113" s="1308"/>
      <c r="J113" s="1308"/>
      <c r="K113" s="1308"/>
      <c r="L113" s="1308"/>
      <c r="M113" s="1308"/>
      <c r="N113" s="1308"/>
      <c r="O113" s="1308"/>
      <c r="P113" s="1308"/>
      <c r="Q113" s="1308"/>
    </row>
    <row r="114" spans="2:17" x14ac:dyDescent="0.2">
      <c r="B114" s="1308"/>
      <c r="C114" s="1308"/>
      <c r="D114" s="1308"/>
      <c r="E114" s="1308"/>
      <c r="F114" s="1308"/>
      <c r="G114" s="1308"/>
      <c r="H114" s="1308"/>
      <c r="I114" s="1308"/>
      <c r="J114" s="1308"/>
      <c r="K114" s="1308"/>
      <c r="L114" s="1308"/>
      <c r="M114" s="1308"/>
      <c r="N114" s="1308"/>
      <c r="O114" s="1308"/>
      <c r="P114" s="1308"/>
      <c r="Q114" s="1308"/>
    </row>
  </sheetData>
  <mergeCells count="85">
    <mergeCell ref="P2:P3"/>
    <mergeCell ref="B4:O4"/>
    <mergeCell ref="P4:P5"/>
    <mergeCell ref="B5:O5"/>
    <mergeCell ref="F2:O2"/>
    <mergeCell ref="F3:O3"/>
    <mergeCell ref="B13:K13"/>
    <mergeCell ref="B6:K6"/>
    <mergeCell ref="M6:P6"/>
    <mergeCell ref="B7:K7"/>
    <mergeCell ref="M7:P7"/>
    <mergeCell ref="B8:K8"/>
    <mergeCell ref="B9:K9"/>
    <mergeCell ref="B10:K10"/>
    <mergeCell ref="L10:P10"/>
    <mergeCell ref="B11:K11"/>
    <mergeCell ref="B12:K12"/>
    <mergeCell ref="M8:P8"/>
    <mergeCell ref="M9:P9"/>
    <mergeCell ref="B14:P14"/>
    <mergeCell ref="B15:K15"/>
    <mergeCell ref="L15:N15"/>
    <mergeCell ref="O15:P15"/>
    <mergeCell ref="B16:K16"/>
    <mergeCell ref="L16:N16"/>
    <mergeCell ref="O16:P16"/>
    <mergeCell ref="B23:P23"/>
    <mergeCell ref="B17:K17"/>
    <mergeCell ref="L17:N17"/>
    <mergeCell ref="O17:P17"/>
    <mergeCell ref="B18:K18"/>
    <mergeCell ref="L18:N18"/>
    <mergeCell ref="O18:P18"/>
    <mergeCell ref="B19:K19"/>
    <mergeCell ref="L19:N19"/>
    <mergeCell ref="O19:P19"/>
    <mergeCell ref="B21:P21"/>
    <mergeCell ref="B22:P22"/>
    <mergeCell ref="B20:P20"/>
    <mergeCell ref="B24:K24"/>
    <mergeCell ref="L24:L27"/>
    <mergeCell ref="M24:O24"/>
    <mergeCell ref="B25:K25"/>
    <mergeCell ref="M25:M27"/>
    <mergeCell ref="N25:N27"/>
    <mergeCell ref="O25:O27"/>
    <mergeCell ref="B26:K26"/>
    <mergeCell ref="B27:K27"/>
    <mergeCell ref="B84:L84"/>
    <mergeCell ref="N84:P84"/>
    <mergeCell ref="B28:K28"/>
    <mergeCell ref="M76:P76"/>
    <mergeCell ref="M77:P77"/>
    <mergeCell ref="N79:P79"/>
    <mergeCell ref="N80:P80"/>
    <mergeCell ref="M81:P81"/>
    <mergeCell ref="M82:P82"/>
    <mergeCell ref="B83:L83"/>
    <mergeCell ref="M83:P83"/>
    <mergeCell ref="M78:P78"/>
    <mergeCell ref="M74:O74"/>
    <mergeCell ref="B96:C96"/>
    <mergeCell ref="B97:C97"/>
    <mergeCell ref="M92:N92"/>
    <mergeCell ref="B85:L85"/>
    <mergeCell ref="N85:P85"/>
    <mergeCell ref="B86:P86"/>
    <mergeCell ref="B87:P87"/>
    <mergeCell ref="B88:P88"/>
    <mergeCell ref="B89:P89"/>
    <mergeCell ref="M90:N90"/>
    <mergeCell ref="M91:N91"/>
    <mergeCell ref="B90:C90"/>
    <mergeCell ref="D90:L90"/>
    <mergeCell ref="B91:C91"/>
    <mergeCell ref="M96:N96"/>
    <mergeCell ref="M97:N97"/>
    <mergeCell ref="M93:N93"/>
    <mergeCell ref="M94:N94"/>
    <mergeCell ref="M95:N95"/>
    <mergeCell ref="D91:L91"/>
    <mergeCell ref="B92:C92"/>
    <mergeCell ref="B93:C93"/>
    <mergeCell ref="B94:C94"/>
    <mergeCell ref="B95:C95"/>
  </mergeCells>
  <pageMargins left="0.761811024" right="0.27559055118110198" top="0.511811023622047" bottom="0.47244094488188998" header="0.31496062992126" footer="0.31496062992126"/>
  <pageSetup paperSize="5" scale="70" orientation="portrait" horizontalDpi="4294967293" verticalDpi="0" r:id="rId1"/>
  <rowBreaks count="1" manualBreakCount="1">
    <brk id="97" min="1" max="15"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V105"/>
  <sheetViews>
    <sheetView view="pageBreakPreview" topLeftCell="J35" zoomScale="70" zoomScaleSheetLayoutView="70" workbookViewId="0">
      <selection activeCell="N36" sqref="N36"/>
    </sheetView>
  </sheetViews>
  <sheetFormatPr defaultColWidth="9.140625" defaultRowHeight="12.75" x14ac:dyDescent="0.2"/>
  <cols>
    <col min="1" max="1" width="5.140625" style="1261" customWidth="1"/>
    <col min="2" max="11" width="2.7109375" style="1261" customWidth="1"/>
    <col min="12" max="12" width="47.5703125" style="1261" customWidth="1"/>
    <col min="13" max="13" width="11.5703125" style="1261" customWidth="1"/>
    <col min="14" max="14" width="8.5703125" style="1261" customWidth="1"/>
    <col min="15" max="15" width="13.5703125" style="1261" customWidth="1"/>
    <col min="16" max="17" width="16.5703125" style="1261" customWidth="1"/>
    <col min="18" max="18" width="17.7109375" style="1261" customWidth="1"/>
    <col min="19" max="19" width="24.42578125" style="1261" customWidth="1"/>
    <col min="20" max="20" width="4.5703125" style="1261" customWidth="1"/>
    <col min="21" max="21" width="2" style="1261" customWidth="1"/>
    <col min="22" max="22" width="10.42578125" style="1261" customWidth="1"/>
    <col min="23" max="23" width="13.140625" style="1261" customWidth="1"/>
    <col min="24" max="24" width="16" style="1261" customWidth="1"/>
    <col min="25" max="25" width="12.5703125" style="1261" bestFit="1" customWidth="1"/>
    <col min="26" max="26" width="12.140625" style="1261" customWidth="1"/>
    <col min="27" max="16384" width="9.140625" style="1261"/>
  </cols>
  <sheetData>
    <row r="1" spans="2:17" ht="13.5" thickBot="1" x14ac:dyDescent="0.25"/>
    <row r="2" spans="2:17" ht="18.95" customHeight="1" thickTop="1" x14ac:dyDescent="0.2">
      <c r="B2" s="209"/>
      <c r="C2" s="210"/>
      <c r="D2" s="210"/>
      <c r="E2" s="210"/>
      <c r="F2" s="2174" t="s">
        <v>182</v>
      </c>
      <c r="G2" s="2174"/>
      <c r="H2" s="2174"/>
      <c r="I2" s="2174"/>
      <c r="J2" s="2174"/>
      <c r="K2" s="2174"/>
      <c r="L2" s="2174"/>
      <c r="M2" s="2174"/>
      <c r="N2" s="2174"/>
      <c r="O2" s="2175"/>
      <c r="P2" s="2625" t="s">
        <v>67</v>
      </c>
      <c r="Q2" s="510"/>
    </row>
    <row r="3" spans="2:17" ht="18.95" customHeight="1" x14ac:dyDescent="0.2">
      <c r="B3" s="211"/>
      <c r="C3" s="212"/>
      <c r="D3" s="212"/>
      <c r="E3" s="212"/>
      <c r="F3" s="2465" t="s">
        <v>183</v>
      </c>
      <c r="G3" s="2465"/>
      <c r="H3" s="2465"/>
      <c r="I3" s="2465"/>
      <c r="J3" s="2465"/>
      <c r="K3" s="2465"/>
      <c r="L3" s="2465"/>
      <c r="M3" s="2465"/>
      <c r="N3" s="2465"/>
      <c r="O3" s="2466"/>
      <c r="P3" s="2626"/>
      <c r="Q3" s="510"/>
    </row>
    <row r="4" spans="2:17" ht="12.95" customHeight="1" x14ac:dyDescent="0.2">
      <c r="B4" s="2629" t="s">
        <v>33</v>
      </c>
      <c r="C4" s="2630"/>
      <c r="D4" s="2630"/>
      <c r="E4" s="2630"/>
      <c r="F4" s="2630"/>
      <c r="G4" s="2630"/>
      <c r="H4" s="2630"/>
      <c r="I4" s="2630"/>
      <c r="J4" s="2630"/>
      <c r="K4" s="2630"/>
      <c r="L4" s="2630"/>
      <c r="M4" s="2630"/>
      <c r="N4" s="2630"/>
      <c r="O4" s="2631"/>
      <c r="P4" s="2632" t="s">
        <v>30</v>
      </c>
      <c r="Q4" s="511"/>
    </row>
    <row r="5" spans="2:17" ht="12.95" customHeight="1" thickBot="1" x14ac:dyDescent="0.25">
      <c r="B5" s="2634" t="str">
        <f>'RECAP APBD'!B5:F5</f>
        <v>Tahun Anggaran 2020</v>
      </c>
      <c r="C5" s="2635"/>
      <c r="D5" s="2635"/>
      <c r="E5" s="2635"/>
      <c r="F5" s="2635"/>
      <c r="G5" s="2635"/>
      <c r="H5" s="2635"/>
      <c r="I5" s="2635"/>
      <c r="J5" s="2635"/>
      <c r="K5" s="2635"/>
      <c r="L5" s="2635"/>
      <c r="M5" s="2635"/>
      <c r="N5" s="2635"/>
      <c r="O5" s="2636"/>
      <c r="P5" s="2633"/>
      <c r="Q5" s="511"/>
    </row>
    <row r="6" spans="2:17" s="715" customFormat="1" ht="12.95" customHeight="1" x14ac:dyDescent="0.2">
      <c r="B6" s="2462" t="s">
        <v>453</v>
      </c>
      <c r="C6" s="2463"/>
      <c r="D6" s="2463"/>
      <c r="E6" s="2463"/>
      <c r="F6" s="2463"/>
      <c r="G6" s="2463"/>
      <c r="H6" s="2463"/>
      <c r="I6" s="2463"/>
      <c r="J6" s="2463"/>
      <c r="K6" s="2463"/>
      <c r="L6" s="1068" t="s">
        <v>442</v>
      </c>
      <c r="M6" s="2213" t="s">
        <v>437</v>
      </c>
      <c r="N6" s="2213"/>
      <c r="O6" s="2213"/>
      <c r="P6" s="2214"/>
      <c r="Q6" s="296"/>
    </row>
    <row r="7" spans="2:17" s="715" customFormat="1" ht="12.95" customHeight="1" x14ac:dyDescent="0.2">
      <c r="B7" s="2471" t="s">
        <v>19</v>
      </c>
      <c r="C7" s="2355"/>
      <c r="D7" s="2355"/>
      <c r="E7" s="2355"/>
      <c r="F7" s="2355"/>
      <c r="G7" s="2355"/>
      <c r="H7" s="2355"/>
      <c r="I7" s="2355"/>
      <c r="J7" s="2355"/>
      <c r="K7" s="2355"/>
      <c r="L7" s="1066" t="s">
        <v>441</v>
      </c>
      <c r="M7" s="2541" t="s">
        <v>466</v>
      </c>
      <c r="N7" s="2541"/>
      <c r="O7" s="2541"/>
      <c r="P7" s="2542"/>
      <c r="Q7" s="512"/>
    </row>
    <row r="8" spans="2:17" ht="32.1" customHeight="1" x14ac:dyDescent="0.2">
      <c r="B8" s="2652" t="s">
        <v>32</v>
      </c>
      <c r="C8" s="2653"/>
      <c r="D8" s="2653"/>
      <c r="E8" s="2653"/>
      <c r="F8" s="2653"/>
      <c r="G8" s="2653"/>
      <c r="H8" s="2653"/>
      <c r="I8" s="2653"/>
      <c r="J8" s="2653"/>
      <c r="K8" s="2653"/>
      <c r="L8" s="1092" t="s">
        <v>254</v>
      </c>
      <c r="M8" s="2170" t="s">
        <v>561</v>
      </c>
      <c r="N8" s="2170"/>
      <c r="O8" s="2170"/>
      <c r="P8" s="2171"/>
      <c r="Q8" s="875"/>
    </row>
    <row r="9" spans="2:17" ht="32.1" customHeight="1" x14ac:dyDescent="0.2">
      <c r="B9" s="2648" t="s">
        <v>20</v>
      </c>
      <c r="C9" s="2649"/>
      <c r="D9" s="2649"/>
      <c r="E9" s="2649"/>
      <c r="F9" s="2649"/>
      <c r="G9" s="2649"/>
      <c r="H9" s="2649"/>
      <c r="I9" s="2649"/>
      <c r="J9" s="2649"/>
      <c r="K9" s="2649"/>
      <c r="L9" s="454" t="s">
        <v>564</v>
      </c>
      <c r="M9" s="2720" t="s">
        <v>565</v>
      </c>
      <c r="N9" s="2720"/>
      <c r="O9" s="2720"/>
      <c r="P9" s="2721"/>
      <c r="Q9" s="2130"/>
    </row>
    <row r="10" spans="2:17" ht="42.95" customHeight="1" x14ac:dyDescent="0.2">
      <c r="B10" s="2652" t="s">
        <v>221</v>
      </c>
      <c r="C10" s="2653"/>
      <c r="D10" s="2653"/>
      <c r="E10" s="2653"/>
      <c r="F10" s="2653"/>
      <c r="G10" s="2653"/>
      <c r="H10" s="2653"/>
      <c r="I10" s="2653"/>
      <c r="J10" s="2653"/>
      <c r="K10" s="2653"/>
      <c r="L10" s="2654" t="s">
        <v>917</v>
      </c>
      <c r="M10" s="2654"/>
      <c r="N10" s="2654"/>
      <c r="O10" s="2654"/>
      <c r="P10" s="2655"/>
      <c r="Q10" s="2124"/>
    </row>
    <row r="11" spans="2:17" ht="12.95" customHeight="1" x14ac:dyDescent="0.2">
      <c r="B11" s="2637" t="s">
        <v>222</v>
      </c>
      <c r="C11" s="2638"/>
      <c r="D11" s="2638"/>
      <c r="E11" s="2638"/>
      <c r="F11" s="2638"/>
      <c r="G11" s="2638"/>
      <c r="H11" s="2638"/>
      <c r="I11" s="2638"/>
      <c r="J11" s="2638"/>
      <c r="K11" s="2638"/>
      <c r="L11" s="213">
        <v>0</v>
      </c>
      <c r="M11" s="213"/>
      <c r="N11" s="213"/>
      <c r="O11" s="213"/>
      <c r="P11" s="214"/>
      <c r="Q11" s="516"/>
    </row>
    <row r="12" spans="2:17" ht="12.95" customHeight="1" x14ac:dyDescent="0.2">
      <c r="B12" s="2637" t="s">
        <v>223</v>
      </c>
      <c r="C12" s="2638"/>
      <c r="D12" s="2638"/>
      <c r="E12" s="2638"/>
      <c r="F12" s="2638"/>
      <c r="G12" s="2638"/>
      <c r="H12" s="2638"/>
      <c r="I12" s="2638"/>
      <c r="J12" s="2638"/>
      <c r="K12" s="2638"/>
      <c r="L12" s="371">
        <f>+P29</f>
        <v>0</v>
      </c>
      <c r="M12" s="213"/>
      <c r="N12" s="213"/>
      <c r="O12" s="213"/>
      <c r="P12" s="214"/>
      <c r="Q12" s="516"/>
    </row>
    <row r="13" spans="2:17" ht="12.95" customHeight="1" x14ac:dyDescent="0.2">
      <c r="B13" s="2637" t="s">
        <v>224</v>
      </c>
      <c r="C13" s="2638"/>
      <c r="D13" s="2638"/>
      <c r="E13" s="2638"/>
      <c r="F13" s="2638"/>
      <c r="G13" s="2638"/>
      <c r="H13" s="2638"/>
      <c r="I13" s="2638"/>
      <c r="J13" s="2638"/>
      <c r="K13" s="2638"/>
      <c r="L13" s="152">
        <f>L12+(L12*5%)</f>
        <v>0</v>
      </c>
      <c r="M13" s="213"/>
      <c r="N13" s="213"/>
      <c r="O13" s="213"/>
      <c r="P13" s="214"/>
      <c r="Q13" s="516"/>
    </row>
    <row r="14" spans="2:17" ht="12.95" customHeight="1" x14ac:dyDescent="0.2">
      <c r="B14" s="2656" t="s">
        <v>225</v>
      </c>
      <c r="C14" s="2657"/>
      <c r="D14" s="2657"/>
      <c r="E14" s="2657"/>
      <c r="F14" s="2657"/>
      <c r="G14" s="2657"/>
      <c r="H14" s="2657"/>
      <c r="I14" s="2657"/>
      <c r="J14" s="2657"/>
      <c r="K14" s="2657"/>
      <c r="L14" s="2657"/>
      <c r="M14" s="2657"/>
      <c r="N14" s="2657"/>
      <c r="O14" s="2657"/>
      <c r="P14" s="2658"/>
      <c r="Q14" s="517"/>
    </row>
    <row r="15" spans="2:17" ht="12.95" customHeight="1" x14ac:dyDescent="0.2">
      <c r="B15" s="2656" t="s">
        <v>36</v>
      </c>
      <c r="C15" s="2657"/>
      <c r="D15" s="2657"/>
      <c r="E15" s="2657"/>
      <c r="F15" s="2657"/>
      <c r="G15" s="2657"/>
      <c r="H15" s="2657"/>
      <c r="I15" s="2657"/>
      <c r="J15" s="2657"/>
      <c r="K15" s="2657"/>
      <c r="L15" s="2717" t="s">
        <v>226</v>
      </c>
      <c r="M15" s="2657"/>
      <c r="N15" s="2659"/>
      <c r="O15" s="2717" t="s">
        <v>227</v>
      </c>
      <c r="P15" s="2658"/>
      <c r="Q15" s="517"/>
    </row>
    <row r="16" spans="2:17" ht="27" customHeight="1" x14ac:dyDescent="0.2">
      <c r="B16" s="2718" t="s">
        <v>37</v>
      </c>
      <c r="C16" s="2719"/>
      <c r="D16" s="2719"/>
      <c r="E16" s="2719"/>
      <c r="F16" s="2719"/>
      <c r="G16" s="2719"/>
      <c r="H16" s="2719"/>
      <c r="I16" s="2719"/>
      <c r="J16" s="2719"/>
      <c r="K16" s="2719"/>
      <c r="L16" s="2710" t="s">
        <v>779</v>
      </c>
      <c r="M16" s="2503"/>
      <c r="N16" s="2645"/>
      <c r="O16" s="2711">
        <v>1</v>
      </c>
      <c r="P16" s="2712"/>
      <c r="Q16" s="2131"/>
    </row>
    <row r="17" spans="2:19" ht="12.95" customHeight="1" x14ac:dyDescent="0.2">
      <c r="B17" s="2641" t="s">
        <v>228</v>
      </c>
      <c r="C17" s="2642"/>
      <c r="D17" s="2642"/>
      <c r="E17" s="2642"/>
      <c r="F17" s="2642"/>
      <c r="G17" s="2642"/>
      <c r="H17" s="2642"/>
      <c r="I17" s="2642"/>
      <c r="J17" s="2642"/>
      <c r="K17" s="2642"/>
      <c r="L17" s="2707" t="s">
        <v>287</v>
      </c>
      <c r="M17" s="2228"/>
      <c r="N17" s="2708"/>
      <c r="O17" s="2709">
        <f>P29</f>
        <v>0</v>
      </c>
      <c r="P17" s="2662"/>
      <c r="Q17" s="1427"/>
    </row>
    <row r="18" spans="2:19" ht="12.95" customHeight="1" x14ac:dyDescent="0.2">
      <c r="B18" s="2641" t="s">
        <v>229</v>
      </c>
      <c r="C18" s="2642"/>
      <c r="D18" s="2642"/>
      <c r="E18" s="2642"/>
      <c r="F18" s="2642"/>
      <c r="G18" s="2642"/>
      <c r="H18" s="2642"/>
      <c r="I18" s="2642"/>
      <c r="J18" s="2642"/>
      <c r="K18" s="2642"/>
      <c r="L18" s="2710" t="s">
        <v>724</v>
      </c>
      <c r="M18" s="2503"/>
      <c r="N18" s="2645"/>
      <c r="O18" s="2711" t="s">
        <v>725</v>
      </c>
      <c r="P18" s="2712"/>
      <c r="Q18" s="2131"/>
    </row>
    <row r="19" spans="2:19" ht="12.95" customHeight="1" x14ac:dyDescent="0.2">
      <c r="B19" s="2641" t="s">
        <v>230</v>
      </c>
      <c r="C19" s="2642"/>
      <c r="D19" s="2642"/>
      <c r="E19" s="2642"/>
      <c r="F19" s="2642"/>
      <c r="G19" s="2642"/>
      <c r="H19" s="2642"/>
      <c r="I19" s="2642"/>
      <c r="J19" s="2642"/>
      <c r="K19" s="2642"/>
      <c r="L19" s="2710" t="s">
        <v>780</v>
      </c>
      <c r="M19" s="2663"/>
      <c r="N19" s="2664"/>
      <c r="O19" s="2713">
        <v>0.94</v>
      </c>
      <c r="P19" s="2647"/>
      <c r="Q19" s="518"/>
    </row>
    <row r="20" spans="2:19" ht="6.95" customHeight="1" x14ac:dyDescent="0.2">
      <c r="B20" s="2665"/>
      <c r="C20" s="2666"/>
      <c r="D20" s="2666"/>
      <c r="E20" s="2666"/>
      <c r="F20" s="2666"/>
      <c r="G20" s="2666"/>
      <c r="H20" s="2666"/>
      <c r="I20" s="2666"/>
      <c r="J20" s="2666"/>
      <c r="K20" s="2666"/>
      <c r="L20" s="2666"/>
      <c r="M20" s="2666"/>
      <c r="N20" s="2666"/>
      <c r="O20" s="2666"/>
      <c r="P20" s="2667"/>
      <c r="Q20" s="2125"/>
    </row>
    <row r="21" spans="2:19" ht="12.95" customHeight="1" x14ac:dyDescent="0.2">
      <c r="B21" s="2668" t="s">
        <v>290</v>
      </c>
      <c r="C21" s="2669"/>
      <c r="D21" s="2669"/>
      <c r="E21" s="2669"/>
      <c r="F21" s="2669"/>
      <c r="G21" s="2669"/>
      <c r="H21" s="2669"/>
      <c r="I21" s="2669"/>
      <c r="J21" s="2669"/>
      <c r="K21" s="2669"/>
      <c r="L21" s="2669"/>
      <c r="M21" s="2669"/>
      <c r="N21" s="2669"/>
      <c r="O21" s="2669"/>
      <c r="P21" s="2670"/>
      <c r="Q21" s="519"/>
    </row>
    <row r="22" spans="2:19" ht="12.95" customHeight="1" x14ac:dyDescent="0.2">
      <c r="B22" s="2714" t="s">
        <v>231</v>
      </c>
      <c r="C22" s="2715"/>
      <c r="D22" s="2715"/>
      <c r="E22" s="2715"/>
      <c r="F22" s="2715"/>
      <c r="G22" s="2715"/>
      <c r="H22" s="2715"/>
      <c r="I22" s="2715"/>
      <c r="J22" s="2715"/>
      <c r="K22" s="2715"/>
      <c r="L22" s="2715"/>
      <c r="M22" s="2715"/>
      <c r="N22" s="2715"/>
      <c r="O22" s="2715"/>
      <c r="P22" s="2716"/>
      <c r="Q22" s="517"/>
    </row>
    <row r="23" spans="2:19" ht="12.95" customHeight="1" x14ac:dyDescent="0.2">
      <c r="B23" s="2704" t="s">
        <v>38</v>
      </c>
      <c r="C23" s="2705"/>
      <c r="D23" s="2705"/>
      <c r="E23" s="2705"/>
      <c r="F23" s="2705"/>
      <c r="G23" s="2705"/>
      <c r="H23" s="2705"/>
      <c r="I23" s="2705"/>
      <c r="J23" s="2705"/>
      <c r="K23" s="2705"/>
      <c r="L23" s="2705"/>
      <c r="M23" s="2705"/>
      <c r="N23" s="2705"/>
      <c r="O23" s="2705"/>
      <c r="P23" s="2706"/>
      <c r="Q23" s="517"/>
    </row>
    <row r="24" spans="2:19" ht="12.95" customHeight="1" x14ac:dyDescent="0.2">
      <c r="B24" s="2673"/>
      <c r="C24" s="2674"/>
      <c r="D24" s="2674"/>
      <c r="E24" s="2674"/>
      <c r="F24" s="2674"/>
      <c r="G24" s="2674"/>
      <c r="H24" s="2674"/>
      <c r="I24" s="2674"/>
      <c r="J24" s="2674"/>
      <c r="K24" s="2674"/>
      <c r="L24" s="2676" t="s">
        <v>191</v>
      </c>
      <c r="M24" s="2703" t="s">
        <v>198</v>
      </c>
      <c r="N24" s="2680"/>
      <c r="O24" s="2681"/>
      <c r="P24" s="1262"/>
      <c r="Q24" s="1308"/>
    </row>
    <row r="25" spans="2:19" ht="12.95" customHeight="1" x14ac:dyDescent="0.2">
      <c r="B25" s="2682" t="s">
        <v>189</v>
      </c>
      <c r="C25" s="2683"/>
      <c r="D25" s="2683"/>
      <c r="E25" s="2683"/>
      <c r="F25" s="2683"/>
      <c r="G25" s="2683"/>
      <c r="H25" s="2683"/>
      <c r="I25" s="2683"/>
      <c r="J25" s="2683"/>
      <c r="K25" s="2683"/>
      <c r="L25" s="2677"/>
      <c r="M25" s="2685" t="s">
        <v>200</v>
      </c>
      <c r="N25" s="2676" t="s">
        <v>26</v>
      </c>
      <c r="O25" s="2676" t="s">
        <v>217</v>
      </c>
      <c r="P25" s="215" t="s">
        <v>192</v>
      </c>
      <c r="Q25" s="2033"/>
    </row>
    <row r="26" spans="2:19" ht="12.95" customHeight="1" x14ac:dyDescent="0.2">
      <c r="B26" s="2682" t="s">
        <v>197</v>
      </c>
      <c r="C26" s="2683"/>
      <c r="D26" s="2683"/>
      <c r="E26" s="2683"/>
      <c r="F26" s="2683"/>
      <c r="G26" s="2683"/>
      <c r="H26" s="2683"/>
      <c r="I26" s="2683"/>
      <c r="J26" s="2683"/>
      <c r="K26" s="2683"/>
      <c r="L26" s="2677"/>
      <c r="M26" s="2686"/>
      <c r="N26" s="2677"/>
      <c r="O26" s="2677"/>
      <c r="P26" s="215" t="s">
        <v>193</v>
      </c>
      <c r="Q26" s="2033"/>
    </row>
    <row r="27" spans="2:19" ht="12.95" customHeight="1" x14ac:dyDescent="0.2">
      <c r="B27" s="2688"/>
      <c r="C27" s="2689"/>
      <c r="D27" s="2689"/>
      <c r="E27" s="2689"/>
      <c r="F27" s="2689"/>
      <c r="G27" s="2689"/>
      <c r="H27" s="2689"/>
      <c r="I27" s="2689"/>
      <c r="J27" s="2689"/>
      <c r="K27" s="2689"/>
      <c r="L27" s="2678"/>
      <c r="M27" s="2687"/>
      <c r="N27" s="2678"/>
      <c r="O27" s="2678"/>
      <c r="P27" s="1263"/>
      <c r="Q27" s="1429"/>
    </row>
    <row r="28" spans="2:19" ht="12.95" customHeight="1" thickBot="1" x14ac:dyDescent="0.25">
      <c r="B28" s="2691">
        <v>1</v>
      </c>
      <c r="C28" s="2692"/>
      <c r="D28" s="2692"/>
      <c r="E28" s="2692"/>
      <c r="F28" s="2692"/>
      <c r="G28" s="2692"/>
      <c r="H28" s="2692"/>
      <c r="I28" s="2692"/>
      <c r="J28" s="2692"/>
      <c r="K28" s="2692"/>
      <c r="L28" s="1086">
        <v>2</v>
      </c>
      <c r="M28" s="1086">
        <v>3</v>
      </c>
      <c r="N28" s="1086">
        <v>4</v>
      </c>
      <c r="O28" s="216">
        <v>5</v>
      </c>
      <c r="P28" s="217" t="s">
        <v>24</v>
      </c>
      <c r="Q28" s="2033"/>
    </row>
    <row r="29" spans="2:19" ht="12.95" customHeight="1" thickTop="1" x14ac:dyDescent="0.2">
      <c r="B29" s="331">
        <v>1</v>
      </c>
      <c r="C29" s="332" t="s">
        <v>440</v>
      </c>
      <c r="D29" s="332" t="s">
        <v>142</v>
      </c>
      <c r="E29" s="333"/>
      <c r="F29" s="1063"/>
      <c r="G29" s="335">
        <v>5</v>
      </c>
      <c r="H29" s="335">
        <v>2</v>
      </c>
      <c r="I29" s="221"/>
      <c r="J29" s="376"/>
      <c r="K29" s="376"/>
      <c r="L29" s="470" t="s">
        <v>108</v>
      </c>
      <c r="M29" s="224"/>
      <c r="N29" s="225"/>
      <c r="O29" s="226"/>
      <c r="P29" s="645">
        <f>SUM(P30)</f>
        <v>0</v>
      </c>
      <c r="Q29" s="1431">
        <v>34771790</v>
      </c>
      <c r="R29" s="1222">
        <f>L11</f>
        <v>0</v>
      </c>
      <c r="S29" s="1264"/>
    </row>
    <row r="30" spans="2:19" ht="12.95" customHeight="1" x14ac:dyDescent="0.2">
      <c r="B30" s="464">
        <v>1</v>
      </c>
      <c r="C30" s="465" t="s">
        <v>440</v>
      </c>
      <c r="D30" s="465" t="s">
        <v>142</v>
      </c>
      <c r="E30" s="357">
        <v>15</v>
      </c>
      <c r="F30" s="461"/>
      <c r="G30" s="462"/>
      <c r="H30" s="462"/>
      <c r="I30" s="462"/>
      <c r="J30" s="463"/>
      <c r="K30" s="463"/>
      <c r="L30" s="472" t="s">
        <v>561</v>
      </c>
      <c r="M30" s="1403"/>
      <c r="N30" s="230"/>
      <c r="O30" s="230"/>
      <c r="P30" s="646">
        <f>SUM(P31)</f>
        <v>0</v>
      </c>
      <c r="Q30" s="2126"/>
      <c r="R30" s="1223">
        <f>P29-R29</f>
        <v>0</v>
      </c>
      <c r="S30" s="1223"/>
    </row>
    <row r="31" spans="2:19" ht="12.95" customHeight="1" x14ac:dyDescent="0.2">
      <c r="B31" s="355">
        <v>1</v>
      </c>
      <c r="C31" s="356" t="s">
        <v>440</v>
      </c>
      <c r="D31" s="356" t="s">
        <v>142</v>
      </c>
      <c r="E31" s="461">
        <v>15</v>
      </c>
      <c r="F31" s="474" t="s">
        <v>145</v>
      </c>
      <c r="G31" s="462"/>
      <c r="H31" s="462"/>
      <c r="I31" s="468"/>
      <c r="J31" s="463"/>
      <c r="K31" s="463"/>
      <c r="L31" s="476" t="s">
        <v>565</v>
      </c>
      <c r="M31" s="1404"/>
      <c r="N31" s="231"/>
      <c r="O31" s="232"/>
      <c r="P31" s="645">
        <f>SUM(P33+P49)</f>
        <v>0</v>
      </c>
      <c r="Q31" s="1431"/>
    </row>
    <row r="32" spans="2:19" ht="12.95" customHeight="1" x14ac:dyDescent="0.2">
      <c r="B32" s="218"/>
      <c r="C32" s="219"/>
      <c r="D32" s="219"/>
      <c r="E32" s="227"/>
      <c r="F32" s="219"/>
      <c r="G32" s="222"/>
      <c r="H32" s="222"/>
      <c r="I32" s="221"/>
      <c r="J32" s="221"/>
      <c r="K32" s="222"/>
      <c r="L32" s="1265"/>
      <c r="M32" s="1404"/>
      <c r="N32" s="231"/>
      <c r="O32" s="232"/>
      <c r="P32" s="645"/>
      <c r="Q32" s="1431"/>
    </row>
    <row r="33" spans="2:18" ht="12.95" customHeight="1" x14ac:dyDescent="0.2">
      <c r="B33" s="80">
        <v>1</v>
      </c>
      <c r="C33" s="33" t="s">
        <v>440</v>
      </c>
      <c r="D33" s="33" t="s">
        <v>142</v>
      </c>
      <c r="E33" s="222">
        <v>15</v>
      </c>
      <c r="F33" s="323" t="s">
        <v>145</v>
      </c>
      <c r="G33" s="222">
        <v>5</v>
      </c>
      <c r="H33" s="222">
        <v>2</v>
      </c>
      <c r="I33" s="221">
        <v>1</v>
      </c>
      <c r="J33" s="221"/>
      <c r="K33" s="222"/>
      <c r="L33" s="439" t="s">
        <v>86</v>
      </c>
      <c r="M33" s="1405"/>
      <c r="N33" s="1266"/>
      <c r="O33" s="1267"/>
      <c r="P33" s="645">
        <f>SUM(P34+P45)</f>
        <v>0</v>
      </c>
      <c r="Q33" s="1431"/>
    </row>
    <row r="34" spans="2:18" ht="12.95" customHeight="1" x14ac:dyDescent="0.2">
      <c r="B34" s="80">
        <v>1</v>
      </c>
      <c r="C34" s="33" t="s">
        <v>440</v>
      </c>
      <c r="D34" s="33" t="s">
        <v>142</v>
      </c>
      <c r="E34" s="222">
        <v>15</v>
      </c>
      <c r="F34" s="323" t="s">
        <v>145</v>
      </c>
      <c r="G34" s="222">
        <v>5</v>
      </c>
      <c r="H34" s="222">
        <v>2</v>
      </c>
      <c r="I34" s="221">
        <v>1</v>
      </c>
      <c r="J34" s="219" t="s">
        <v>142</v>
      </c>
      <c r="K34" s="222"/>
      <c r="L34" s="440" t="s">
        <v>159</v>
      </c>
      <c r="M34" s="1405"/>
      <c r="N34" s="1268"/>
      <c r="O34" s="1269"/>
      <c r="P34" s="645">
        <f>SUM(P35+P38)</f>
        <v>0</v>
      </c>
      <c r="Q34" s="1431"/>
    </row>
    <row r="35" spans="2:18" ht="12.95" customHeight="1" x14ac:dyDescent="0.2">
      <c r="B35" s="80">
        <v>1</v>
      </c>
      <c r="C35" s="33" t="s">
        <v>440</v>
      </c>
      <c r="D35" s="33" t="s">
        <v>142</v>
      </c>
      <c r="E35" s="222">
        <v>15</v>
      </c>
      <c r="F35" s="323" t="s">
        <v>145</v>
      </c>
      <c r="G35" s="222">
        <v>5</v>
      </c>
      <c r="H35" s="222">
        <v>2</v>
      </c>
      <c r="I35" s="221">
        <v>1</v>
      </c>
      <c r="J35" s="219" t="s">
        <v>142</v>
      </c>
      <c r="K35" s="323" t="s">
        <v>142</v>
      </c>
      <c r="L35" s="441" t="s">
        <v>143</v>
      </c>
      <c r="M35" s="1343"/>
      <c r="N35" s="1271"/>
      <c r="O35" s="1272"/>
      <c r="P35" s="1273">
        <f>SUM(P36:P36)</f>
        <v>0</v>
      </c>
      <c r="Q35" s="1436"/>
    </row>
    <row r="36" spans="2:18" ht="39.950000000000003" customHeight="1" x14ac:dyDescent="0.2">
      <c r="B36" s="218"/>
      <c r="C36" s="219"/>
      <c r="D36" s="219"/>
      <c r="E36" s="236"/>
      <c r="F36" s="219"/>
      <c r="G36" s="221"/>
      <c r="H36" s="221"/>
      <c r="I36" s="237"/>
      <c r="J36" s="238"/>
      <c r="K36" s="323"/>
      <c r="L36" s="1582" t="s">
        <v>918</v>
      </c>
      <c r="M36" s="1343">
        <v>6</v>
      </c>
      <c r="N36" s="1579" t="s">
        <v>138</v>
      </c>
      <c r="O36" s="1580">
        <v>0</v>
      </c>
      <c r="P36" s="1581">
        <f>O36*M36</f>
        <v>0</v>
      </c>
      <c r="Q36" s="2132"/>
    </row>
    <row r="37" spans="2:18" ht="12.95" customHeight="1" x14ac:dyDescent="0.2">
      <c r="B37" s="218"/>
      <c r="C37" s="219"/>
      <c r="D37" s="219"/>
      <c r="E37" s="236"/>
      <c r="F37" s="219"/>
      <c r="G37" s="221"/>
      <c r="H37" s="221"/>
      <c r="I37" s="237"/>
      <c r="J37" s="238"/>
      <c r="K37" s="323"/>
      <c r="L37" s="443"/>
      <c r="M37" s="1343"/>
      <c r="N37" s="1272"/>
      <c r="O37" s="1275"/>
      <c r="P37" s="1273"/>
      <c r="Q37" s="1436"/>
    </row>
    <row r="38" spans="2:18" ht="12.95" customHeight="1" x14ac:dyDescent="0.2">
      <c r="B38" s="80">
        <v>1</v>
      </c>
      <c r="C38" s="33" t="s">
        <v>440</v>
      </c>
      <c r="D38" s="33" t="s">
        <v>142</v>
      </c>
      <c r="E38" s="222">
        <v>15</v>
      </c>
      <c r="F38" s="323" t="s">
        <v>145</v>
      </c>
      <c r="G38" s="222">
        <v>5</v>
      </c>
      <c r="H38" s="222">
        <v>2</v>
      </c>
      <c r="I38" s="221">
        <v>1</v>
      </c>
      <c r="J38" s="219" t="s">
        <v>142</v>
      </c>
      <c r="K38" s="323" t="s">
        <v>181</v>
      </c>
      <c r="L38" s="441" t="s">
        <v>283</v>
      </c>
      <c r="M38" s="1343"/>
      <c r="N38" s="1271"/>
      <c r="O38" s="1272"/>
      <c r="P38" s="1273">
        <f>SUM(P39)</f>
        <v>0</v>
      </c>
      <c r="Q38" s="1436"/>
    </row>
    <row r="39" spans="2:18" ht="12.95" customHeight="1" x14ac:dyDescent="0.2">
      <c r="B39" s="218"/>
      <c r="C39" s="219"/>
      <c r="D39" s="219"/>
      <c r="E39" s="236"/>
      <c r="F39" s="219"/>
      <c r="G39" s="221"/>
      <c r="H39" s="221"/>
      <c r="I39" s="237"/>
      <c r="J39" s="238"/>
      <c r="K39" s="323"/>
      <c r="L39" s="441" t="s">
        <v>647</v>
      </c>
      <c r="M39" s="1343"/>
      <c r="N39" s="1271"/>
      <c r="O39" s="1274"/>
      <c r="P39" s="1273">
        <f>SUM(P40:P43)</f>
        <v>0</v>
      </c>
      <c r="Q39" s="1436"/>
      <c r="R39" s="1223"/>
    </row>
    <row r="40" spans="2:18" ht="12.95" customHeight="1" x14ac:dyDescent="0.2">
      <c r="B40" s="218"/>
      <c r="C40" s="219"/>
      <c r="D40" s="219"/>
      <c r="E40" s="236"/>
      <c r="F40" s="219"/>
      <c r="G40" s="221"/>
      <c r="H40" s="221"/>
      <c r="I40" s="237"/>
      <c r="J40" s="238"/>
      <c r="K40" s="323"/>
      <c r="L40" s="490" t="s">
        <v>552</v>
      </c>
      <c r="M40" s="1392">
        <f>2*6</f>
        <v>12</v>
      </c>
      <c r="N40" s="1272" t="s">
        <v>138</v>
      </c>
      <c r="O40" s="1275">
        <v>0</v>
      </c>
      <c r="P40" s="1273">
        <f>M40*O40</f>
        <v>0</v>
      </c>
      <c r="Q40" s="1436"/>
    </row>
    <row r="41" spans="2:18" ht="12.95" customHeight="1" x14ac:dyDescent="0.2">
      <c r="B41" s="218"/>
      <c r="C41" s="219"/>
      <c r="D41" s="219"/>
      <c r="E41" s="236"/>
      <c r="F41" s="219"/>
      <c r="G41" s="221"/>
      <c r="H41" s="221"/>
      <c r="I41" s="237"/>
      <c r="J41" s="238"/>
      <c r="K41" s="323"/>
      <c r="L41" s="442" t="s">
        <v>473</v>
      </c>
      <c r="M41" s="1343">
        <f>1*6</f>
        <v>6</v>
      </c>
      <c r="N41" s="1272" t="s">
        <v>138</v>
      </c>
      <c r="O41" s="1275">
        <v>0</v>
      </c>
      <c r="P41" s="1273">
        <f>M41*O41</f>
        <v>0</v>
      </c>
      <c r="Q41" s="1436"/>
    </row>
    <row r="42" spans="2:18" ht="12.95" customHeight="1" x14ac:dyDescent="0.2">
      <c r="B42" s="218"/>
      <c r="C42" s="219"/>
      <c r="D42" s="219"/>
      <c r="E42" s="236"/>
      <c r="F42" s="219"/>
      <c r="G42" s="221"/>
      <c r="H42" s="221"/>
      <c r="I42" s="237"/>
      <c r="J42" s="238"/>
      <c r="K42" s="323"/>
      <c r="L42" s="442" t="s">
        <v>474</v>
      </c>
      <c r="M42" s="1343">
        <f>1*6</f>
        <v>6</v>
      </c>
      <c r="N42" s="1272" t="s">
        <v>138</v>
      </c>
      <c r="O42" s="1275">
        <v>0</v>
      </c>
      <c r="P42" s="1273">
        <f>M42*O42</f>
        <v>0</v>
      </c>
      <c r="Q42" s="1436"/>
    </row>
    <row r="43" spans="2:18" ht="12.95" customHeight="1" x14ac:dyDescent="0.2">
      <c r="B43" s="218"/>
      <c r="C43" s="219"/>
      <c r="D43" s="219"/>
      <c r="E43" s="236"/>
      <c r="F43" s="219"/>
      <c r="G43" s="221"/>
      <c r="H43" s="221"/>
      <c r="I43" s="237"/>
      <c r="J43" s="238"/>
      <c r="K43" s="323"/>
      <c r="L43" s="442" t="s">
        <v>483</v>
      </c>
      <c r="M43" s="1343">
        <f>13*6</f>
        <v>78</v>
      </c>
      <c r="N43" s="1272" t="s">
        <v>138</v>
      </c>
      <c r="O43" s="1275">
        <v>0</v>
      </c>
      <c r="P43" s="1273">
        <f>M43*O43</f>
        <v>0</v>
      </c>
      <c r="Q43" s="1436"/>
    </row>
    <row r="44" spans="2:18" ht="12.95" customHeight="1" x14ac:dyDescent="0.2">
      <c r="B44" s="218"/>
      <c r="C44" s="219"/>
      <c r="D44" s="219"/>
      <c r="E44" s="236"/>
      <c r="F44" s="219"/>
      <c r="G44" s="221"/>
      <c r="H44" s="221"/>
      <c r="I44" s="237"/>
      <c r="J44" s="238"/>
      <c r="K44" s="323"/>
      <c r="L44" s="441"/>
      <c r="M44" s="1343"/>
      <c r="N44" s="1272"/>
      <c r="O44" s="1275"/>
      <c r="P44" s="1273"/>
      <c r="Q44" s="1436"/>
    </row>
    <row r="45" spans="2:18" ht="12.95" customHeight="1" x14ac:dyDescent="0.2">
      <c r="B45" s="80">
        <v>1</v>
      </c>
      <c r="C45" s="33" t="s">
        <v>440</v>
      </c>
      <c r="D45" s="33" t="s">
        <v>142</v>
      </c>
      <c r="E45" s="222">
        <v>15</v>
      </c>
      <c r="F45" s="323" t="s">
        <v>145</v>
      </c>
      <c r="G45" s="222">
        <v>5</v>
      </c>
      <c r="H45" s="222">
        <v>2</v>
      </c>
      <c r="I45" s="221">
        <v>1</v>
      </c>
      <c r="J45" s="219" t="s">
        <v>145</v>
      </c>
      <c r="K45" s="222"/>
      <c r="L45" s="440" t="s">
        <v>481</v>
      </c>
      <c r="M45" s="1405"/>
      <c r="N45" s="1268"/>
      <c r="O45" s="1269"/>
      <c r="P45" s="645">
        <f>P46</f>
        <v>0</v>
      </c>
      <c r="Q45" s="1431"/>
    </row>
    <row r="46" spans="2:18" ht="12.95" customHeight="1" x14ac:dyDescent="0.2">
      <c r="B46" s="80">
        <v>1</v>
      </c>
      <c r="C46" s="33" t="s">
        <v>440</v>
      </c>
      <c r="D46" s="33" t="s">
        <v>142</v>
      </c>
      <c r="E46" s="222">
        <v>15</v>
      </c>
      <c r="F46" s="323" t="s">
        <v>145</v>
      </c>
      <c r="G46" s="222">
        <v>5</v>
      </c>
      <c r="H46" s="222">
        <v>2</v>
      </c>
      <c r="I46" s="221">
        <v>1</v>
      </c>
      <c r="J46" s="219" t="s">
        <v>145</v>
      </c>
      <c r="K46" s="323" t="s">
        <v>164</v>
      </c>
      <c r="L46" s="441" t="s">
        <v>284</v>
      </c>
      <c r="M46" s="1343"/>
      <c r="N46" s="1271"/>
      <c r="O46" s="1272"/>
      <c r="P46" s="1273">
        <f>SUM(P47:P47)</f>
        <v>0</v>
      </c>
      <c r="Q46" s="1436"/>
    </row>
    <row r="47" spans="2:18" ht="12.95" customHeight="1" x14ac:dyDescent="0.2">
      <c r="B47" s="218"/>
      <c r="C47" s="219"/>
      <c r="D47" s="219"/>
      <c r="E47" s="236"/>
      <c r="F47" s="219"/>
      <c r="G47" s="221"/>
      <c r="H47" s="221"/>
      <c r="I47" s="237"/>
      <c r="J47" s="238"/>
      <c r="K47" s="323"/>
      <c r="L47" s="442" t="s">
        <v>648</v>
      </c>
      <c r="M47" s="1343">
        <f>4*10</f>
        <v>40</v>
      </c>
      <c r="N47" s="1271" t="s">
        <v>811</v>
      </c>
      <c r="O47" s="1274">
        <v>0</v>
      </c>
      <c r="P47" s="1273">
        <f>O47*M47</f>
        <v>0</v>
      </c>
      <c r="Q47" s="1436"/>
    </row>
    <row r="48" spans="2:18" ht="12.95" customHeight="1" x14ac:dyDescent="0.2">
      <c r="B48" s="218"/>
      <c r="C48" s="219"/>
      <c r="D48" s="219"/>
      <c r="E48" s="236"/>
      <c r="F48" s="219"/>
      <c r="G48" s="221"/>
      <c r="H48" s="221"/>
      <c r="I48" s="237"/>
      <c r="J48" s="238"/>
      <c r="K48" s="323"/>
      <c r="L48" s="441"/>
      <c r="M48" s="1343"/>
      <c r="N48" s="1272"/>
      <c r="O48" s="1275"/>
      <c r="P48" s="1273"/>
      <c r="Q48" s="1436"/>
    </row>
    <row r="49" spans="2:22" ht="12.95" customHeight="1" x14ac:dyDescent="0.2">
      <c r="B49" s="80">
        <v>1</v>
      </c>
      <c r="C49" s="33" t="s">
        <v>440</v>
      </c>
      <c r="D49" s="33" t="s">
        <v>142</v>
      </c>
      <c r="E49" s="222">
        <v>15</v>
      </c>
      <c r="F49" s="323" t="s">
        <v>145</v>
      </c>
      <c r="G49" s="222">
        <v>5</v>
      </c>
      <c r="H49" s="222">
        <v>2</v>
      </c>
      <c r="I49" s="221">
        <v>2</v>
      </c>
      <c r="J49" s="221"/>
      <c r="K49" s="222"/>
      <c r="L49" s="444" t="s">
        <v>120</v>
      </c>
      <c r="M49" s="1406"/>
      <c r="N49" s="1272"/>
      <c r="O49" s="1276"/>
      <c r="P49" s="642">
        <f>SUM(P50+P61)</f>
        <v>0</v>
      </c>
      <c r="Q49" s="1445"/>
      <c r="R49" s="1223"/>
      <c r="S49" s="1277"/>
      <c r="U49" s="1278"/>
    </row>
    <row r="50" spans="2:22" ht="12.95" customHeight="1" x14ac:dyDescent="0.2">
      <c r="B50" s="80">
        <v>1</v>
      </c>
      <c r="C50" s="33" t="s">
        <v>440</v>
      </c>
      <c r="D50" s="33" t="s">
        <v>142</v>
      </c>
      <c r="E50" s="222">
        <v>15</v>
      </c>
      <c r="F50" s="323" t="s">
        <v>145</v>
      </c>
      <c r="G50" s="222">
        <v>5</v>
      </c>
      <c r="H50" s="222">
        <v>2</v>
      </c>
      <c r="I50" s="222">
        <v>2</v>
      </c>
      <c r="J50" s="219" t="s">
        <v>142</v>
      </c>
      <c r="K50" s="222"/>
      <c r="L50" s="445" t="s">
        <v>109</v>
      </c>
      <c r="M50" s="1406"/>
      <c r="N50" s="1279"/>
      <c r="O50" s="1280"/>
      <c r="P50" s="642">
        <f>SUM(P51)</f>
        <v>0</v>
      </c>
      <c r="Q50" s="1445"/>
    </row>
    <row r="51" spans="2:22" ht="12.95" customHeight="1" x14ac:dyDescent="0.2">
      <c r="B51" s="80">
        <v>1</v>
      </c>
      <c r="C51" s="33" t="s">
        <v>440</v>
      </c>
      <c r="D51" s="33" t="s">
        <v>142</v>
      </c>
      <c r="E51" s="222">
        <v>15</v>
      </c>
      <c r="F51" s="323" t="s">
        <v>145</v>
      </c>
      <c r="G51" s="222">
        <v>5</v>
      </c>
      <c r="H51" s="222">
        <v>2</v>
      </c>
      <c r="I51" s="222">
        <v>2</v>
      </c>
      <c r="J51" s="219" t="s">
        <v>142</v>
      </c>
      <c r="K51" s="323" t="s">
        <v>142</v>
      </c>
      <c r="L51" s="446" t="s">
        <v>127</v>
      </c>
      <c r="M51" s="1406"/>
      <c r="N51" s="1272"/>
      <c r="O51" s="1276"/>
      <c r="P51" s="1273">
        <f>SUM(P52:P59)</f>
        <v>0</v>
      </c>
      <c r="Q51" s="1436"/>
      <c r="R51" s="1281"/>
      <c r="S51" s="1223"/>
    </row>
    <row r="52" spans="2:22" ht="12.95" customHeight="1" x14ac:dyDescent="0.2">
      <c r="B52" s="218"/>
      <c r="C52" s="219"/>
      <c r="D52" s="219"/>
      <c r="E52" s="236"/>
      <c r="F52" s="236"/>
      <c r="G52" s="221"/>
      <c r="H52" s="221"/>
      <c r="I52" s="221"/>
      <c r="J52" s="219"/>
      <c r="K52" s="323"/>
      <c r="L52" s="447" t="s">
        <v>666</v>
      </c>
      <c r="M52" s="1406">
        <v>3</v>
      </c>
      <c r="N52" s="1271" t="s">
        <v>148</v>
      </c>
      <c r="O52" s="1274">
        <v>0</v>
      </c>
      <c r="P52" s="1282">
        <f t="shared" ref="P52:P59" si="0">O52*M52</f>
        <v>0</v>
      </c>
      <c r="Q52" s="1461"/>
      <c r="S52" s="1283"/>
    </row>
    <row r="53" spans="2:22" ht="12.95" customHeight="1" x14ac:dyDescent="0.2">
      <c r="B53" s="218"/>
      <c r="C53" s="219"/>
      <c r="D53" s="219"/>
      <c r="E53" s="236"/>
      <c r="F53" s="236"/>
      <c r="G53" s="221"/>
      <c r="H53" s="221"/>
      <c r="I53" s="221"/>
      <c r="J53" s="219"/>
      <c r="K53" s="323"/>
      <c r="L53" s="448" t="s">
        <v>125</v>
      </c>
      <c r="M53" s="1406">
        <v>1</v>
      </c>
      <c r="N53" s="1271" t="s">
        <v>163</v>
      </c>
      <c r="O53" s="1274">
        <v>0</v>
      </c>
      <c r="P53" s="1282">
        <f t="shared" si="0"/>
        <v>0</v>
      </c>
      <c r="Q53" s="1461"/>
      <c r="S53" s="1283"/>
    </row>
    <row r="54" spans="2:22" ht="12.95" customHeight="1" x14ac:dyDescent="0.2">
      <c r="B54" s="218"/>
      <c r="C54" s="219"/>
      <c r="D54" s="219"/>
      <c r="E54" s="236"/>
      <c r="F54" s="236"/>
      <c r="G54" s="221"/>
      <c r="H54" s="221"/>
      <c r="I54" s="221"/>
      <c r="J54" s="219"/>
      <c r="K54" s="323"/>
      <c r="L54" s="448" t="s">
        <v>812</v>
      </c>
      <c r="M54" s="1406">
        <v>1</v>
      </c>
      <c r="N54" s="1271" t="s">
        <v>495</v>
      </c>
      <c r="O54" s="1274">
        <v>0</v>
      </c>
      <c r="P54" s="1282">
        <f t="shared" si="0"/>
        <v>0</v>
      </c>
      <c r="Q54" s="1461"/>
      <c r="S54" s="1283"/>
    </row>
    <row r="55" spans="2:22" ht="12.95" customHeight="1" x14ac:dyDescent="0.2">
      <c r="B55" s="218"/>
      <c r="C55" s="219"/>
      <c r="D55" s="219"/>
      <c r="E55" s="236"/>
      <c r="F55" s="236"/>
      <c r="G55" s="221"/>
      <c r="H55" s="221"/>
      <c r="I55" s="221"/>
      <c r="J55" s="219"/>
      <c r="K55" s="323"/>
      <c r="L55" s="448" t="s">
        <v>813</v>
      </c>
      <c r="M55" s="1406">
        <v>1</v>
      </c>
      <c r="N55" s="1271" t="s">
        <v>495</v>
      </c>
      <c r="O55" s="1274">
        <v>0</v>
      </c>
      <c r="P55" s="1282">
        <f t="shared" si="0"/>
        <v>0</v>
      </c>
      <c r="Q55" s="1461"/>
      <c r="S55" s="1283"/>
    </row>
    <row r="56" spans="2:22" ht="12.95" customHeight="1" x14ac:dyDescent="0.2">
      <c r="B56" s="218"/>
      <c r="C56" s="219"/>
      <c r="D56" s="219"/>
      <c r="E56" s="236"/>
      <c r="F56" s="236"/>
      <c r="G56" s="221"/>
      <c r="H56" s="221"/>
      <c r="I56" s="221"/>
      <c r="J56" s="219"/>
      <c r="K56" s="323"/>
      <c r="L56" s="448" t="s">
        <v>814</v>
      </c>
      <c r="M56" s="1406">
        <v>1</v>
      </c>
      <c r="N56" s="1271" t="s">
        <v>771</v>
      </c>
      <c r="O56" s="1274">
        <v>0</v>
      </c>
      <c r="P56" s="1282">
        <f t="shared" si="0"/>
        <v>0</v>
      </c>
      <c r="Q56" s="1461"/>
      <c r="S56" s="1283"/>
    </row>
    <row r="57" spans="2:22" ht="12.95" customHeight="1" x14ac:dyDescent="0.2">
      <c r="B57" s="218"/>
      <c r="C57" s="219"/>
      <c r="D57" s="219"/>
      <c r="E57" s="236"/>
      <c r="F57" s="236"/>
      <c r="G57" s="221"/>
      <c r="H57" s="221"/>
      <c r="I57" s="221"/>
      <c r="J57" s="219"/>
      <c r="K57" s="323"/>
      <c r="L57" s="448" t="s">
        <v>573</v>
      </c>
      <c r="M57" s="1406">
        <v>1</v>
      </c>
      <c r="N57" s="1271" t="s">
        <v>582</v>
      </c>
      <c r="O57" s="1274">
        <v>0</v>
      </c>
      <c r="P57" s="1282">
        <f t="shared" si="0"/>
        <v>0</v>
      </c>
      <c r="Q57" s="1461"/>
      <c r="S57" s="1283"/>
    </row>
    <row r="58" spans="2:22" ht="12.95" customHeight="1" x14ac:dyDescent="0.2">
      <c r="B58" s="218"/>
      <c r="C58" s="219"/>
      <c r="D58" s="219"/>
      <c r="E58" s="236"/>
      <c r="F58" s="236"/>
      <c r="G58" s="221"/>
      <c r="H58" s="221"/>
      <c r="I58" s="221"/>
      <c r="J58" s="219"/>
      <c r="K58" s="323"/>
      <c r="L58" s="448" t="s">
        <v>660</v>
      </c>
      <c r="M58" s="1406">
        <v>12</v>
      </c>
      <c r="N58" s="1271" t="s">
        <v>495</v>
      </c>
      <c r="O58" s="1274">
        <v>0</v>
      </c>
      <c r="P58" s="1282">
        <f t="shared" si="0"/>
        <v>0</v>
      </c>
      <c r="Q58" s="1461"/>
      <c r="S58" s="1283"/>
    </row>
    <row r="59" spans="2:22" ht="12.95" customHeight="1" x14ac:dyDescent="0.2">
      <c r="B59" s="218"/>
      <c r="C59" s="219"/>
      <c r="D59" s="219"/>
      <c r="E59" s="236"/>
      <c r="F59" s="236"/>
      <c r="G59" s="221"/>
      <c r="H59" s="221"/>
      <c r="I59" s="221"/>
      <c r="J59" s="219"/>
      <c r="K59" s="323"/>
      <c r="L59" s="447" t="s">
        <v>815</v>
      </c>
      <c r="M59" s="1407">
        <v>1</v>
      </c>
      <c r="N59" s="1284" t="s">
        <v>116</v>
      </c>
      <c r="O59" s="1285">
        <v>0</v>
      </c>
      <c r="P59" s="1282">
        <f t="shared" si="0"/>
        <v>0</v>
      </c>
      <c r="Q59" s="1461"/>
      <c r="S59" s="1283"/>
    </row>
    <row r="60" spans="2:22" ht="12.95" customHeight="1" x14ac:dyDescent="0.2">
      <c r="B60" s="245"/>
      <c r="C60" s="246"/>
      <c r="D60" s="246"/>
      <c r="E60" s="247"/>
      <c r="F60" s="246"/>
      <c r="G60" s="248"/>
      <c r="H60" s="248"/>
      <c r="I60" s="248"/>
      <c r="J60" s="248"/>
      <c r="K60" s="451"/>
      <c r="L60" s="449"/>
      <c r="M60" s="1408"/>
      <c r="N60" s="1286"/>
      <c r="O60" s="1287"/>
      <c r="P60" s="1288"/>
      <c r="Q60" s="1461"/>
      <c r="S60" s="1289"/>
      <c r="T60" s="1289"/>
      <c r="U60" s="1289"/>
      <c r="V60" s="1290"/>
    </row>
    <row r="61" spans="2:22" ht="12.95" customHeight="1" x14ac:dyDescent="0.2">
      <c r="B61" s="80">
        <v>1</v>
      </c>
      <c r="C61" s="33" t="s">
        <v>440</v>
      </c>
      <c r="D61" s="33" t="s">
        <v>142</v>
      </c>
      <c r="E61" s="222">
        <v>15</v>
      </c>
      <c r="F61" s="323" t="s">
        <v>145</v>
      </c>
      <c r="G61" s="222">
        <v>5</v>
      </c>
      <c r="H61" s="222">
        <v>2</v>
      </c>
      <c r="I61" s="222">
        <v>2</v>
      </c>
      <c r="J61" s="219" t="s">
        <v>144</v>
      </c>
      <c r="K61" s="222"/>
      <c r="L61" s="445" t="s">
        <v>115</v>
      </c>
      <c r="M61" s="1406"/>
      <c r="N61" s="1291"/>
      <c r="O61" s="1279"/>
      <c r="P61" s="642">
        <f>P62</f>
        <v>0</v>
      </c>
      <c r="Q61" s="1445"/>
    </row>
    <row r="62" spans="2:22" ht="12.95" customHeight="1" x14ac:dyDescent="0.2">
      <c r="B62" s="80">
        <v>1</v>
      </c>
      <c r="C62" s="33" t="s">
        <v>440</v>
      </c>
      <c r="D62" s="33" t="s">
        <v>142</v>
      </c>
      <c r="E62" s="222">
        <v>15</v>
      </c>
      <c r="F62" s="323" t="s">
        <v>145</v>
      </c>
      <c r="G62" s="222">
        <v>5</v>
      </c>
      <c r="H62" s="222">
        <v>2</v>
      </c>
      <c r="I62" s="222">
        <v>2</v>
      </c>
      <c r="J62" s="219" t="s">
        <v>144</v>
      </c>
      <c r="K62" s="323" t="s">
        <v>145</v>
      </c>
      <c r="L62" s="446" t="s">
        <v>121</v>
      </c>
      <c r="M62" s="1406"/>
      <c r="N62" s="1271"/>
      <c r="O62" s="1272"/>
      <c r="P62" s="1273">
        <f>SUM(P63)</f>
        <v>0</v>
      </c>
      <c r="Q62" s="1436"/>
    </row>
    <row r="63" spans="2:22" ht="12.95" customHeight="1" x14ac:dyDescent="0.2">
      <c r="B63" s="218"/>
      <c r="C63" s="219"/>
      <c r="D63" s="219"/>
      <c r="E63" s="236"/>
      <c r="F63" s="219"/>
      <c r="G63" s="221"/>
      <c r="H63" s="221"/>
      <c r="I63" s="221"/>
      <c r="J63" s="221"/>
      <c r="K63" s="222"/>
      <c r="L63" s="447" t="s">
        <v>816</v>
      </c>
      <c r="M63" s="1409">
        <v>714</v>
      </c>
      <c r="N63" s="1284" t="s">
        <v>113</v>
      </c>
      <c r="O63" s="1232">
        <v>0</v>
      </c>
      <c r="P63" s="1282">
        <f>O63*M63</f>
        <v>0</v>
      </c>
      <c r="Q63" s="1461"/>
    </row>
    <row r="64" spans="2:22" ht="12.95" customHeight="1" thickBot="1" x14ac:dyDescent="0.25">
      <c r="B64" s="245"/>
      <c r="C64" s="248"/>
      <c r="D64" s="248"/>
      <c r="E64" s="248"/>
      <c r="F64" s="248"/>
      <c r="G64" s="248"/>
      <c r="H64" s="237"/>
      <c r="I64" s="237"/>
      <c r="J64" s="237"/>
      <c r="K64" s="452"/>
      <c r="L64" s="450"/>
      <c r="M64" s="1406"/>
      <c r="N64" s="1271"/>
      <c r="O64" s="1292"/>
      <c r="P64" s="1583"/>
      <c r="Q64" s="1436"/>
    </row>
    <row r="65" spans="2:21" ht="12.95" customHeight="1" thickBot="1" x14ac:dyDescent="0.25">
      <c r="B65" s="110"/>
      <c r="C65" s="107"/>
      <c r="D65" s="107"/>
      <c r="E65" s="107"/>
      <c r="F65" s="107"/>
      <c r="G65" s="107"/>
      <c r="H65" s="107"/>
      <c r="I65" s="107"/>
      <c r="J65" s="107"/>
      <c r="K65" s="107"/>
      <c r="L65" s="107"/>
      <c r="M65" s="2620" t="s">
        <v>199</v>
      </c>
      <c r="N65" s="2620"/>
      <c r="O65" s="2621"/>
      <c r="P65" s="647">
        <f>P29</f>
        <v>0</v>
      </c>
      <c r="Q65" s="1488"/>
    </row>
    <row r="66" spans="2:21" ht="12.95" customHeight="1" x14ac:dyDescent="0.2">
      <c r="B66" s="1211"/>
      <c r="C66" s="1212"/>
      <c r="D66" s="1212"/>
      <c r="E66" s="1212"/>
      <c r="F66" s="1212"/>
      <c r="G66" s="1212"/>
      <c r="H66" s="1212"/>
      <c r="I66" s="1212"/>
      <c r="J66" s="1212"/>
      <c r="K66" s="1212"/>
      <c r="L66" s="1212"/>
      <c r="M66" s="1212"/>
      <c r="N66" s="1212"/>
      <c r="O66" s="1212"/>
      <c r="P66" s="1213"/>
      <c r="Q66" s="1488"/>
    </row>
    <row r="67" spans="2:21" ht="12.95" customHeight="1" x14ac:dyDescent="0.2">
      <c r="B67" s="1294"/>
      <c r="C67" s="1295"/>
      <c r="D67" s="1295"/>
      <c r="E67" s="1295"/>
      <c r="F67" s="1295"/>
      <c r="G67" s="1295"/>
      <c r="H67" s="1295"/>
      <c r="I67" s="1295"/>
      <c r="J67" s="1295"/>
      <c r="K67" s="1295"/>
      <c r="L67" s="1296"/>
      <c r="M67" s="2694" t="str">
        <f>'RECAP APBD'!E43</f>
        <v>Banda Aceh,                   2020</v>
      </c>
      <c r="N67" s="2694"/>
      <c r="O67" s="2694"/>
      <c r="P67" s="2695"/>
      <c r="Q67" s="2034"/>
    </row>
    <row r="68" spans="2:21" ht="12.95" customHeight="1" x14ac:dyDescent="0.2">
      <c r="B68" s="1294"/>
      <c r="C68" s="1295"/>
      <c r="D68" s="1295"/>
      <c r="E68" s="1295"/>
      <c r="F68" s="1295"/>
      <c r="G68" s="1295"/>
      <c r="H68" s="1295"/>
      <c r="I68" s="1295"/>
      <c r="J68" s="1295"/>
      <c r="K68" s="1295"/>
      <c r="L68" s="1295"/>
      <c r="M68" s="2683" t="str">
        <f>'RECAP APBD'!E44</f>
        <v>Pengguna Anggaran</v>
      </c>
      <c r="N68" s="2683"/>
      <c r="O68" s="2683"/>
      <c r="P68" s="2696"/>
      <c r="Q68" s="2033"/>
    </row>
    <row r="69" spans="2:21" ht="12.95" customHeight="1" x14ac:dyDescent="0.2">
      <c r="B69" s="1294"/>
      <c r="C69" s="1295"/>
      <c r="D69" s="1295"/>
      <c r="E69" s="1295"/>
      <c r="F69" s="1295"/>
      <c r="G69" s="1295"/>
      <c r="H69" s="1295"/>
      <c r="I69" s="1295"/>
      <c r="J69" s="1295"/>
      <c r="K69" s="1295"/>
      <c r="L69" s="1295"/>
      <c r="M69" s="2683" t="str">
        <f>'RECAP APBD'!E45</f>
        <v>Satuan Kerja Perangkat Daerah</v>
      </c>
      <c r="N69" s="2683"/>
      <c r="O69" s="2683"/>
      <c r="P69" s="2696"/>
      <c r="Q69" s="2033"/>
    </row>
    <row r="70" spans="2:21" ht="12.95" customHeight="1" x14ac:dyDescent="0.2">
      <c r="B70" s="1294"/>
      <c r="C70" s="1295"/>
      <c r="D70" s="1295"/>
      <c r="E70" s="1295"/>
      <c r="F70" s="1295"/>
      <c r="G70" s="1295"/>
      <c r="H70" s="1295"/>
      <c r="I70" s="1295"/>
      <c r="J70" s="1295"/>
      <c r="K70" s="1295"/>
      <c r="L70" s="1297"/>
      <c r="M70" s="1088"/>
      <c r="N70" s="2671"/>
      <c r="O70" s="2671"/>
      <c r="P70" s="2672"/>
      <c r="Q70" s="2032"/>
    </row>
    <row r="71" spans="2:21" ht="12.95" customHeight="1" x14ac:dyDescent="0.2">
      <c r="B71" s="1294"/>
      <c r="C71" s="1295"/>
      <c r="D71" s="1295"/>
      <c r="E71" s="1295"/>
      <c r="F71" s="1295"/>
      <c r="G71" s="1295"/>
      <c r="H71" s="1295"/>
      <c r="I71" s="1295"/>
      <c r="J71" s="1295"/>
      <c r="K71" s="1295"/>
      <c r="L71" s="1298"/>
      <c r="M71" s="1088"/>
      <c r="N71" s="2671"/>
      <c r="O71" s="2671"/>
      <c r="P71" s="2672"/>
      <c r="Q71" s="2032"/>
    </row>
    <row r="72" spans="2:21" ht="12.95" customHeight="1" x14ac:dyDescent="0.2">
      <c r="B72" s="1294"/>
      <c r="C72" s="1295"/>
      <c r="D72" s="1295"/>
      <c r="E72" s="1295"/>
      <c r="F72" s="1295"/>
      <c r="G72" s="1295"/>
      <c r="H72" s="1295"/>
      <c r="I72" s="1295"/>
      <c r="J72" s="1295"/>
      <c r="K72" s="1295"/>
      <c r="L72" s="1299"/>
      <c r="M72" s="2697" t="str">
        <f>'STATISTIK FORUM 1 DATA'!M81:P81</f>
        <v>Bustami, SH</v>
      </c>
      <c r="N72" s="2697"/>
      <c r="O72" s="2697"/>
      <c r="P72" s="2698"/>
      <c r="Q72" s="2035"/>
    </row>
    <row r="73" spans="2:21" ht="12.95" customHeight="1" x14ac:dyDescent="0.2">
      <c r="B73" s="1300"/>
      <c r="C73" s="1301"/>
      <c r="D73" s="1301"/>
      <c r="E73" s="1301"/>
      <c r="F73" s="1301"/>
      <c r="G73" s="1301"/>
      <c r="H73" s="1301"/>
      <c r="I73" s="1301"/>
      <c r="J73" s="1301"/>
      <c r="K73" s="1301"/>
      <c r="L73" s="1301"/>
      <c r="M73" s="2573" t="str">
        <f>'RECAP APBD'!E49</f>
        <v>Pembina Utama Muda / Nip. 19630824 198703 1 004</v>
      </c>
      <c r="N73" s="2573"/>
      <c r="O73" s="2573"/>
      <c r="P73" s="2574"/>
      <c r="Q73" s="2033"/>
      <c r="R73" s="1302"/>
      <c r="S73" s="1303"/>
      <c r="T73" s="1087"/>
      <c r="U73" s="1304"/>
    </row>
    <row r="74" spans="2:21" ht="12.95" customHeight="1" x14ac:dyDescent="0.2">
      <c r="B74" s="2501" t="s">
        <v>140</v>
      </c>
      <c r="C74" s="2502"/>
      <c r="D74" s="2502"/>
      <c r="E74" s="2502"/>
      <c r="F74" s="2502"/>
      <c r="G74" s="2502"/>
      <c r="H74" s="2502"/>
      <c r="I74" s="2502"/>
      <c r="J74" s="2502"/>
      <c r="K74" s="2502"/>
      <c r="L74" s="2502"/>
      <c r="M74" s="2513"/>
      <c r="N74" s="2513"/>
      <c r="O74" s="2513"/>
      <c r="P74" s="2514"/>
      <c r="Q74" s="571"/>
      <c r="R74" s="1302"/>
      <c r="S74" s="1303"/>
      <c r="T74" s="1297"/>
      <c r="U74" s="1304"/>
    </row>
    <row r="75" spans="2:21" ht="12.95" customHeight="1" x14ac:dyDescent="0.2">
      <c r="B75" s="2501" t="s">
        <v>22</v>
      </c>
      <c r="C75" s="2502"/>
      <c r="D75" s="2502"/>
      <c r="E75" s="2502"/>
      <c r="F75" s="2502"/>
      <c r="G75" s="2502"/>
      <c r="H75" s="2502"/>
      <c r="I75" s="2502"/>
      <c r="J75" s="2502"/>
      <c r="K75" s="2502"/>
      <c r="L75" s="2502"/>
      <c r="M75" s="251"/>
      <c r="N75" s="2508"/>
      <c r="O75" s="2508"/>
      <c r="P75" s="2509"/>
      <c r="Q75" s="1490"/>
      <c r="R75" s="1302"/>
      <c r="S75" s="1303"/>
      <c r="T75" s="1297"/>
      <c r="U75" s="1304"/>
    </row>
    <row r="76" spans="2:21" ht="12.95" customHeight="1" x14ac:dyDescent="0.2">
      <c r="B76" s="2501" t="s">
        <v>21</v>
      </c>
      <c r="C76" s="2502"/>
      <c r="D76" s="2502"/>
      <c r="E76" s="2502"/>
      <c r="F76" s="2502"/>
      <c r="G76" s="2502"/>
      <c r="H76" s="2502"/>
      <c r="I76" s="2502"/>
      <c r="J76" s="2502"/>
      <c r="K76" s="2502"/>
      <c r="L76" s="2502"/>
      <c r="M76" s="251"/>
      <c r="N76" s="2503"/>
      <c r="O76" s="2503"/>
      <c r="P76" s="2504"/>
      <c r="Q76" s="2034"/>
      <c r="R76" s="1305"/>
      <c r="S76" s="1306"/>
      <c r="T76" s="1297"/>
      <c r="U76" s="1304"/>
    </row>
    <row r="77" spans="2:21" ht="12.95" customHeight="1" x14ac:dyDescent="0.2">
      <c r="B77" s="2501" t="s">
        <v>204</v>
      </c>
      <c r="C77" s="2502"/>
      <c r="D77" s="2502"/>
      <c r="E77" s="2502"/>
      <c r="F77" s="2502"/>
      <c r="G77" s="2502"/>
      <c r="H77" s="2502"/>
      <c r="I77" s="2502"/>
      <c r="J77" s="2502"/>
      <c r="K77" s="2502"/>
      <c r="L77" s="2502"/>
      <c r="M77" s="2502"/>
      <c r="N77" s="2502"/>
      <c r="O77" s="2502"/>
      <c r="P77" s="2505"/>
      <c r="Q77" s="572"/>
      <c r="R77" s="1305"/>
      <c r="S77" s="1306"/>
      <c r="T77" s="1297"/>
      <c r="U77" s="1304"/>
    </row>
    <row r="78" spans="2:21" ht="12.95" customHeight="1" x14ac:dyDescent="0.2">
      <c r="B78" s="2501" t="s">
        <v>205</v>
      </c>
      <c r="C78" s="2502"/>
      <c r="D78" s="2502"/>
      <c r="E78" s="2502"/>
      <c r="F78" s="2502"/>
      <c r="G78" s="2502"/>
      <c r="H78" s="2502"/>
      <c r="I78" s="2502"/>
      <c r="J78" s="2502"/>
      <c r="K78" s="2502"/>
      <c r="L78" s="2502"/>
      <c r="M78" s="2502"/>
      <c r="N78" s="2502"/>
      <c r="O78" s="2502"/>
      <c r="P78" s="2505"/>
      <c r="Q78" s="572"/>
      <c r="R78" s="1305"/>
      <c r="S78" s="1306"/>
      <c r="T78" s="1297"/>
      <c r="U78" s="1307"/>
    </row>
    <row r="79" spans="2:21" ht="12.95" customHeight="1" thickBot="1" x14ac:dyDescent="0.25">
      <c r="B79" s="2517" t="s">
        <v>206</v>
      </c>
      <c r="C79" s="2518"/>
      <c r="D79" s="2518"/>
      <c r="E79" s="2518"/>
      <c r="F79" s="2518"/>
      <c r="G79" s="2518"/>
      <c r="H79" s="2518"/>
      <c r="I79" s="2518"/>
      <c r="J79" s="2518"/>
      <c r="K79" s="2518"/>
      <c r="L79" s="2518"/>
      <c r="M79" s="2518"/>
      <c r="N79" s="2518"/>
      <c r="O79" s="2518"/>
      <c r="P79" s="2519"/>
      <c r="Q79" s="572"/>
      <c r="R79" s="1305"/>
      <c r="S79" s="1306"/>
      <c r="T79" s="1297"/>
      <c r="U79" s="1307"/>
    </row>
    <row r="80" spans="2:21" ht="12.95" customHeight="1" thickTop="1" x14ac:dyDescent="0.2">
      <c r="B80" s="2523" t="s">
        <v>25</v>
      </c>
      <c r="C80" s="2524"/>
      <c r="D80" s="2524"/>
      <c r="E80" s="2524"/>
      <c r="F80" s="2524"/>
      <c r="G80" s="2524"/>
      <c r="H80" s="2524"/>
      <c r="I80" s="2524"/>
      <c r="J80" s="2524"/>
      <c r="K80" s="2524"/>
      <c r="L80" s="2524"/>
      <c r="M80" s="2524"/>
      <c r="N80" s="2524"/>
      <c r="O80" s="2524"/>
      <c r="P80" s="2525"/>
      <c r="Q80" s="2023"/>
    </row>
    <row r="81" spans="2:17" ht="12.95" customHeight="1" thickBot="1" x14ac:dyDescent="0.25">
      <c r="B81" s="2526" t="s">
        <v>207</v>
      </c>
      <c r="C81" s="2527"/>
      <c r="D81" s="2528" t="s">
        <v>208</v>
      </c>
      <c r="E81" s="2529"/>
      <c r="F81" s="2529"/>
      <c r="G81" s="2529"/>
      <c r="H81" s="2529"/>
      <c r="I81" s="2529"/>
      <c r="J81" s="2529"/>
      <c r="K81" s="2529"/>
      <c r="L81" s="2530"/>
      <c r="M81" s="2531" t="s">
        <v>209</v>
      </c>
      <c r="N81" s="2530"/>
      <c r="O81" s="4" t="s">
        <v>210</v>
      </c>
      <c r="P81" s="92" t="s">
        <v>211</v>
      </c>
      <c r="Q81" s="2027"/>
    </row>
    <row r="82" spans="2:17" ht="12.95" customHeight="1" thickTop="1" x14ac:dyDescent="0.2">
      <c r="B82" s="2535">
        <v>1</v>
      </c>
      <c r="C82" s="2536"/>
      <c r="D82" s="2532"/>
      <c r="E82" s="2533"/>
      <c r="F82" s="2533"/>
      <c r="G82" s="2533"/>
      <c r="H82" s="2533"/>
      <c r="I82" s="2533"/>
      <c r="J82" s="2533"/>
      <c r="K82" s="2533"/>
      <c r="L82" s="2534"/>
      <c r="M82" s="2538"/>
      <c r="N82" s="2539"/>
      <c r="O82" s="1073"/>
      <c r="P82" s="1177" t="s">
        <v>10</v>
      </c>
      <c r="Q82" s="1257"/>
    </row>
    <row r="83" spans="2:17" ht="12.95" customHeight="1" x14ac:dyDescent="0.2">
      <c r="B83" s="2522">
        <v>2</v>
      </c>
      <c r="C83" s="2240"/>
      <c r="D83" s="1116"/>
      <c r="E83" s="1117"/>
      <c r="F83" s="1117"/>
      <c r="G83" s="1117"/>
      <c r="H83" s="1117"/>
      <c r="I83" s="1117"/>
      <c r="J83" s="1117"/>
      <c r="K83" s="1117"/>
      <c r="L83" s="1118"/>
      <c r="M83" s="2442"/>
      <c r="N83" s="2247"/>
      <c r="O83" s="1085"/>
      <c r="P83" s="1177" t="s">
        <v>11</v>
      </c>
      <c r="Q83" s="1257"/>
    </row>
    <row r="84" spans="2:17" ht="12.95" customHeight="1" x14ac:dyDescent="0.2">
      <c r="B84" s="2522">
        <v>3</v>
      </c>
      <c r="C84" s="2240"/>
      <c r="D84" s="1116"/>
      <c r="E84" s="1117"/>
      <c r="F84" s="1117"/>
      <c r="G84" s="1117"/>
      <c r="H84" s="1117"/>
      <c r="I84" s="1117"/>
      <c r="J84" s="1117"/>
      <c r="K84" s="1117"/>
      <c r="L84" s="1118"/>
      <c r="M84" s="2442"/>
      <c r="N84" s="2247"/>
      <c r="O84" s="1085"/>
      <c r="P84" s="1177" t="s">
        <v>12</v>
      </c>
      <c r="Q84" s="1257"/>
    </row>
    <row r="85" spans="2:17" ht="12.95" customHeight="1" x14ac:dyDescent="0.2">
      <c r="B85" s="2522">
        <v>4</v>
      </c>
      <c r="C85" s="2240"/>
      <c r="D85" s="1116"/>
      <c r="E85" s="1117"/>
      <c r="F85" s="1117"/>
      <c r="G85" s="1117"/>
      <c r="H85" s="1117"/>
      <c r="I85" s="1117"/>
      <c r="J85" s="1117"/>
      <c r="K85" s="1117"/>
      <c r="L85" s="1118"/>
      <c r="M85" s="2443"/>
      <c r="N85" s="2253"/>
      <c r="O85" s="1085"/>
      <c r="P85" s="1177" t="s">
        <v>13</v>
      </c>
      <c r="Q85" s="1257"/>
    </row>
    <row r="86" spans="2:17" ht="12.95" customHeight="1" x14ac:dyDescent="0.2">
      <c r="B86" s="2522">
        <v>5</v>
      </c>
      <c r="C86" s="2240"/>
      <c r="D86" s="1116"/>
      <c r="E86" s="1117"/>
      <c r="F86" s="1117"/>
      <c r="G86" s="1117"/>
      <c r="H86" s="1117"/>
      <c r="I86" s="1117"/>
      <c r="J86" s="1117"/>
      <c r="K86" s="1117"/>
      <c r="L86" s="1118"/>
      <c r="M86" s="2443"/>
      <c r="N86" s="2253"/>
      <c r="O86" s="1085"/>
      <c r="P86" s="1177" t="s">
        <v>14</v>
      </c>
      <c r="Q86" s="1257"/>
    </row>
    <row r="87" spans="2:17" ht="12.95" customHeight="1" x14ac:dyDescent="0.2">
      <c r="B87" s="2522">
        <v>6</v>
      </c>
      <c r="C87" s="2240"/>
      <c r="D87" s="1116"/>
      <c r="E87" s="1117"/>
      <c r="F87" s="1117"/>
      <c r="G87" s="1117"/>
      <c r="H87" s="1117"/>
      <c r="I87" s="1117"/>
      <c r="J87" s="1117"/>
      <c r="K87" s="1117"/>
      <c r="L87" s="1118"/>
      <c r="M87" s="2443"/>
      <c r="N87" s="2253"/>
      <c r="O87" s="1085"/>
      <c r="P87" s="1178" t="s">
        <v>42</v>
      </c>
      <c r="Q87" s="2052"/>
    </row>
    <row r="88" spans="2:17" ht="12.95" customHeight="1" thickBot="1" x14ac:dyDescent="0.25">
      <c r="B88" s="2520">
        <v>7</v>
      </c>
      <c r="C88" s="2521"/>
      <c r="D88" s="1119"/>
      <c r="E88" s="1120"/>
      <c r="F88" s="1120"/>
      <c r="G88" s="1120"/>
      <c r="H88" s="1120"/>
      <c r="I88" s="1120"/>
      <c r="J88" s="1120"/>
      <c r="K88" s="1120"/>
      <c r="L88" s="1121"/>
      <c r="M88" s="2537"/>
      <c r="N88" s="2300"/>
      <c r="O88" s="1061"/>
      <c r="P88" s="1179" t="s">
        <v>487</v>
      </c>
      <c r="Q88" s="2053"/>
    </row>
    <row r="89" spans="2:17" ht="13.5" thickTop="1" x14ac:dyDescent="0.2">
      <c r="B89" s="1308"/>
      <c r="C89" s="1308"/>
      <c r="D89" s="1308"/>
      <c r="E89" s="1308"/>
      <c r="F89" s="1308"/>
      <c r="G89" s="1308"/>
      <c r="H89" s="1308"/>
      <c r="I89" s="1308"/>
      <c r="J89" s="1308"/>
      <c r="K89" s="1308"/>
      <c r="L89" s="1308"/>
      <c r="M89" s="1308"/>
      <c r="N89" s="1308"/>
      <c r="O89" s="1308"/>
      <c r="P89" s="1308"/>
      <c r="Q89" s="1308"/>
    </row>
    <row r="90" spans="2:17" x14ac:dyDescent="0.2">
      <c r="B90" s="1308"/>
      <c r="C90" s="1308"/>
      <c r="D90" s="1308"/>
      <c r="E90" s="1308"/>
      <c r="F90" s="1308"/>
      <c r="G90" s="1308"/>
      <c r="H90" s="1308"/>
      <c r="I90" s="1308"/>
      <c r="J90" s="1308"/>
      <c r="K90" s="1308"/>
      <c r="L90" s="1308"/>
      <c r="M90" s="1308"/>
      <c r="N90" s="1308"/>
      <c r="O90" s="1308"/>
      <c r="P90" s="1308"/>
      <c r="Q90" s="1308"/>
    </row>
    <row r="91" spans="2:17" x14ac:dyDescent="0.2">
      <c r="B91" s="1308"/>
      <c r="C91" s="1308"/>
      <c r="D91" s="1308"/>
      <c r="E91" s="1308"/>
      <c r="F91" s="1308"/>
      <c r="G91" s="1308"/>
      <c r="H91" s="1308"/>
      <c r="I91" s="1308"/>
      <c r="J91" s="1308"/>
      <c r="K91" s="1308"/>
      <c r="L91" s="1308"/>
      <c r="M91" s="1308"/>
      <c r="N91" s="1308"/>
      <c r="O91" s="1308"/>
      <c r="P91" s="1308"/>
      <c r="Q91" s="1308"/>
    </row>
    <row r="92" spans="2:17" x14ac:dyDescent="0.2">
      <c r="B92" s="1308"/>
      <c r="C92" s="1308"/>
      <c r="D92" s="1308"/>
      <c r="E92" s="1308"/>
      <c r="F92" s="1308"/>
      <c r="G92" s="1308"/>
      <c r="H92" s="1308"/>
      <c r="I92" s="1308"/>
      <c r="J92" s="1308"/>
      <c r="K92" s="1308"/>
      <c r="L92" s="1308"/>
      <c r="M92" s="1308"/>
      <c r="N92" s="1308"/>
      <c r="O92" s="1308"/>
      <c r="P92" s="1308"/>
      <c r="Q92" s="1308"/>
    </row>
    <row r="93" spans="2:17" x14ac:dyDescent="0.2">
      <c r="B93" s="1308"/>
      <c r="C93" s="1308"/>
      <c r="D93" s="1308"/>
      <c r="E93" s="1308"/>
      <c r="F93" s="1308"/>
      <c r="G93" s="1308"/>
      <c r="H93" s="1308"/>
      <c r="I93" s="1308"/>
      <c r="J93" s="1308"/>
      <c r="K93" s="1308"/>
      <c r="L93" s="1308"/>
      <c r="M93" s="1308"/>
      <c r="N93" s="1308"/>
      <c r="O93" s="1308"/>
      <c r="P93" s="1308"/>
      <c r="Q93" s="1308"/>
    </row>
    <row r="94" spans="2:17" x14ac:dyDescent="0.2">
      <c r="B94" s="1308"/>
      <c r="C94" s="1308"/>
      <c r="D94" s="1308"/>
      <c r="E94" s="1308"/>
      <c r="F94" s="1308"/>
      <c r="G94" s="1308"/>
      <c r="H94" s="1308"/>
      <c r="I94" s="1308"/>
      <c r="J94" s="1308"/>
      <c r="K94" s="1308"/>
      <c r="L94" s="1308"/>
      <c r="M94" s="1308"/>
      <c r="N94" s="1308"/>
      <c r="O94" s="1308"/>
      <c r="P94" s="1308"/>
      <c r="Q94" s="1308"/>
    </row>
    <row r="95" spans="2:17" x14ac:dyDescent="0.2">
      <c r="B95" s="1308"/>
      <c r="C95" s="1308"/>
      <c r="D95" s="1308"/>
      <c r="E95" s="1308"/>
      <c r="F95" s="1308"/>
      <c r="G95" s="1308"/>
      <c r="H95" s="1308"/>
      <c r="I95" s="1308"/>
      <c r="J95" s="1308"/>
      <c r="K95" s="1308"/>
      <c r="L95" s="1308"/>
      <c r="M95" s="1308"/>
      <c r="N95" s="1308"/>
      <c r="O95" s="1308"/>
      <c r="P95" s="1308"/>
      <c r="Q95" s="1308"/>
    </row>
    <row r="96" spans="2:17" x14ac:dyDescent="0.2">
      <c r="B96" s="1308"/>
      <c r="C96" s="1308"/>
      <c r="D96" s="1308"/>
      <c r="E96" s="1308"/>
      <c r="F96" s="1308"/>
      <c r="G96" s="1308"/>
      <c r="H96" s="1308"/>
      <c r="I96" s="1308"/>
      <c r="J96" s="1308"/>
      <c r="K96" s="1308"/>
      <c r="L96" s="1308"/>
      <c r="M96" s="1308"/>
      <c r="N96" s="1308"/>
      <c r="O96" s="1308"/>
      <c r="P96" s="1308"/>
      <c r="Q96" s="1308"/>
    </row>
    <row r="97" spans="2:17" x14ac:dyDescent="0.2">
      <c r="B97" s="1308"/>
      <c r="C97" s="1308"/>
      <c r="D97" s="1308"/>
      <c r="E97" s="1308"/>
      <c r="F97" s="1308"/>
      <c r="G97" s="1308"/>
      <c r="H97" s="1308"/>
      <c r="I97" s="1308"/>
      <c r="J97" s="1308"/>
      <c r="K97" s="1308"/>
      <c r="L97" s="1308"/>
      <c r="M97" s="1308"/>
      <c r="N97" s="1308"/>
      <c r="O97" s="1308"/>
      <c r="P97" s="1308"/>
      <c r="Q97" s="1308"/>
    </row>
    <row r="98" spans="2:17" x14ac:dyDescent="0.2">
      <c r="B98" s="1308"/>
      <c r="C98" s="1308"/>
      <c r="D98" s="1308"/>
      <c r="E98" s="1308"/>
      <c r="F98" s="1308"/>
      <c r="G98" s="1308"/>
      <c r="H98" s="1308"/>
      <c r="I98" s="1308"/>
      <c r="J98" s="1308"/>
      <c r="K98" s="1308"/>
      <c r="L98" s="1308"/>
      <c r="M98" s="1308"/>
      <c r="N98" s="1308"/>
      <c r="O98" s="1308"/>
      <c r="P98" s="1308"/>
      <c r="Q98" s="1308"/>
    </row>
    <row r="99" spans="2:17" x14ac:dyDescent="0.2">
      <c r="B99" s="1308"/>
      <c r="C99" s="1308"/>
      <c r="D99" s="1308"/>
      <c r="E99" s="1308"/>
      <c r="F99" s="1308"/>
      <c r="G99" s="1308"/>
      <c r="H99" s="1308"/>
      <c r="I99" s="1308"/>
      <c r="J99" s="1308"/>
      <c r="K99" s="1308"/>
      <c r="L99" s="1308"/>
      <c r="M99" s="1308"/>
      <c r="N99" s="1308"/>
      <c r="O99" s="1308"/>
      <c r="P99" s="1308"/>
      <c r="Q99" s="1308"/>
    </row>
    <row r="100" spans="2:17" x14ac:dyDescent="0.2">
      <c r="B100" s="1308"/>
      <c r="C100" s="1308"/>
      <c r="D100" s="1308"/>
      <c r="E100" s="1308"/>
      <c r="F100" s="1308"/>
      <c r="G100" s="1308"/>
      <c r="H100" s="1308"/>
      <c r="I100" s="1308"/>
      <c r="J100" s="1308"/>
      <c r="K100" s="1308"/>
      <c r="L100" s="1308"/>
      <c r="M100" s="1308"/>
      <c r="N100" s="1308"/>
      <c r="O100" s="1308"/>
      <c r="P100" s="1308"/>
      <c r="Q100" s="1308"/>
    </row>
    <row r="101" spans="2:17" x14ac:dyDescent="0.2">
      <c r="B101" s="1308"/>
      <c r="C101" s="1308"/>
      <c r="D101" s="1308"/>
      <c r="E101" s="1308"/>
      <c r="F101" s="1308"/>
      <c r="G101" s="1308"/>
      <c r="H101" s="1308"/>
      <c r="I101" s="1308"/>
      <c r="J101" s="1308"/>
      <c r="K101" s="1308"/>
      <c r="L101" s="1308"/>
      <c r="M101" s="1308"/>
      <c r="N101" s="1308"/>
      <c r="O101" s="1308"/>
      <c r="P101" s="1308"/>
      <c r="Q101" s="1308"/>
    </row>
    <row r="102" spans="2:17" x14ac:dyDescent="0.2">
      <c r="B102" s="1308"/>
      <c r="C102" s="1308"/>
      <c r="D102" s="1308"/>
      <c r="E102" s="1308"/>
      <c r="F102" s="1308"/>
      <c r="G102" s="1308"/>
      <c r="H102" s="1308"/>
      <c r="I102" s="1308"/>
      <c r="J102" s="1308"/>
      <c r="K102" s="1308"/>
      <c r="L102" s="1308"/>
      <c r="M102" s="1308"/>
      <c r="N102" s="1308"/>
      <c r="O102" s="1308"/>
      <c r="P102" s="1308"/>
      <c r="Q102" s="1308"/>
    </row>
    <row r="103" spans="2:17" x14ac:dyDescent="0.2">
      <c r="B103" s="1308"/>
      <c r="C103" s="1308"/>
      <c r="D103" s="1308"/>
      <c r="E103" s="1308"/>
      <c r="F103" s="1308"/>
      <c r="G103" s="1308"/>
      <c r="H103" s="1308"/>
      <c r="I103" s="1308"/>
      <c r="J103" s="1308"/>
      <c r="K103" s="1308"/>
      <c r="L103" s="1308"/>
      <c r="M103" s="1308"/>
      <c r="N103" s="1308"/>
      <c r="O103" s="1308"/>
      <c r="P103" s="1308"/>
      <c r="Q103" s="1308"/>
    </row>
    <row r="104" spans="2:17" x14ac:dyDescent="0.2">
      <c r="B104" s="1308"/>
      <c r="C104" s="1308"/>
      <c r="D104" s="1308"/>
      <c r="E104" s="1308"/>
      <c r="F104" s="1308"/>
      <c r="G104" s="1308"/>
      <c r="H104" s="1308"/>
      <c r="I104" s="1308"/>
      <c r="J104" s="1308"/>
      <c r="K104" s="1308"/>
      <c r="L104" s="1308"/>
      <c r="M104" s="1308"/>
      <c r="N104" s="1308"/>
      <c r="O104" s="1308"/>
      <c r="P104" s="1308"/>
      <c r="Q104" s="1308"/>
    </row>
    <row r="105" spans="2:17" x14ac:dyDescent="0.2">
      <c r="B105" s="1308"/>
      <c r="C105" s="1308"/>
      <c r="D105" s="1308"/>
      <c r="E105" s="1308"/>
      <c r="F105" s="1308"/>
      <c r="G105" s="1308"/>
      <c r="H105" s="1308"/>
      <c r="I105" s="1308"/>
      <c r="J105" s="1308"/>
      <c r="K105" s="1308"/>
      <c r="L105" s="1308"/>
      <c r="M105" s="1308"/>
      <c r="N105" s="1308"/>
      <c r="O105" s="1308"/>
      <c r="P105" s="1308"/>
      <c r="Q105" s="1308"/>
    </row>
  </sheetData>
  <mergeCells count="85">
    <mergeCell ref="P2:P3"/>
    <mergeCell ref="B4:O4"/>
    <mergeCell ref="P4:P5"/>
    <mergeCell ref="B5:O5"/>
    <mergeCell ref="F2:O2"/>
    <mergeCell ref="F3:O3"/>
    <mergeCell ref="B13:K13"/>
    <mergeCell ref="B6:K6"/>
    <mergeCell ref="M6:P6"/>
    <mergeCell ref="B7:K7"/>
    <mergeCell ref="M7:P7"/>
    <mergeCell ref="B8:K8"/>
    <mergeCell ref="B9:K9"/>
    <mergeCell ref="M9:P9"/>
    <mergeCell ref="B10:K10"/>
    <mergeCell ref="L10:P10"/>
    <mergeCell ref="B11:K11"/>
    <mergeCell ref="B12:K12"/>
    <mergeCell ref="M8:P8"/>
    <mergeCell ref="B14:P14"/>
    <mergeCell ref="B15:K15"/>
    <mergeCell ref="L15:N15"/>
    <mergeCell ref="O15:P15"/>
    <mergeCell ref="B16:K16"/>
    <mergeCell ref="L16:N16"/>
    <mergeCell ref="O16:P16"/>
    <mergeCell ref="B23:P23"/>
    <mergeCell ref="B17:K17"/>
    <mergeCell ref="L17:N17"/>
    <mergeCell ref="O17:P17"/>
    <mergeCell ref="B18:K18"/>
    <mergeCell ref="L18:N18"/>
    <mergeCell ref="O18:P18"/>
    <mergeCell ref="B19:K19"/>
    <mergeCell ref="L19:N19"/>
    <mergeCell ref="O19:P19"/>
    <mergeCell ref="B21:P21"/>
    <mergeCell ref="B22:P22"/>
    <mergeCell ref="B20:P20"/>
    <mergeCell ref="B24:K24"/>
    <mergeCell ref="L24:L27"/>
    <mergeCell ref="M24:O24"/>
    <mergeCell ref="B25:K25"/>
    <mergeCell ref="M25:M27"/>
    <mergeCell ref="N25:N27"/>
    <mergeCell ref="O25:O27"/>
    <mergeCell ref="B26:K26"/>
    <mergeCell ref="B27:K27"/>
    <mergeCell ref="B75:L75"/>
    <mergeCell ref="N75:P75"/>
    <mergeCell ref="B28:K28"/>
    <mergeCell ref="M67:P67"/>
    <mergeCell ref="M68:P68"/>
    <mergeCell ref="N70:P70"/>
    <mergeCell ref="N71:P71"/>
    <mergeCell ref="M72:P72"/>
    <mergeCell ref="M73:P73"/>
    <mergeCell ref="B74:L74"/>
    <mergeCell ref="M74:P74"/>
    <mergeCell ref="M69:P69"/>
    <mergeCell ref="M65:O65"/>
    <mergeCell ref="B87:C87"/>
    <mergeCell ref="B88:C88"/>
    <mergeCell ref="M83:N83"/>
    <mergeCell ref="B76:L76"/>
    <mergeCell ref="N76:P76"/>
    <mergeCell ref="B77:P77"/>
    <mergeCell ref="B78:P78"/>
    <mergeCell ref="B79:P79"/>
    <mergeCell ref="B80:P80"/>
    <mergeCell ref="M81:N81"/>
    <mergeCell ref="M82:N82"/>
    <mergeCell ref="B81:C81"/>
    <mergeCell ref="D81:L81"/>
    <mergeCell ref="B82:C82"/>
    <mergeCell ref="M87:N87"/>
    <mergeCell ref="M88:N88"/>
    <mergeCell ref="M84:N84"/>
    <mergeCell ref="M85:N85"/>
    <mergeCell ref="M86:N86"/>
    <mergeCell ref="D82:L82"/>
    <mergeCell ref="B83:C83"/>
    <mergeCell ref="B84:C84"/>
    <mergeCell ref="B85:C85"/>
    <mergeCell ref="B86:C86"/>
  </mergeCells>
  <pageMargins left="1.011811024" right="0.27559055118110198" top="0.511811023622047" bottom="0.47244094488188998" header="0.31496062992126" footer="0.31496062992126"/>
  <pageSetup paperSize="5" scale="70" orientation="portrait" horizontalDpi="4294967293" verticalDpi="0" r:id="rId1"/>
  <colBreaks count="1" manualBreakCount="1">
    <brk id="17" max="1048575"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MG169"/>
  <sheetViews>
    <sheetView view="pageBreakPreview" topLeftCell="H78" zoomScale="70" zoomScaleNormal="100" zoomScaleSheetLayoutView="70" workbookViewId="0">
      <selection activeCell="M99" sqref="M99"/>
    </sheetView>
  </sheetViews>
  <sheetFormatPr defaultColWidth="8.7109375" defaultRowHeight="12.75" x14ac:dyDescent="0.2"/>
  <cols>
    <col min="1" max="1" width="6.140625" style="715" customWidth="1"/>
    <col min="2" max="11" width="2.7109375" style="715" customWidth="1"/>
    <col min="12" max="12" width="47.5703125" style="715" customWidth="1"/>
    <col min="13" max="13" width="12.42578125" style="715" customWidth="1"/>
    <col min="14" max="14" width="8.5703125" style="715" customWidth="1"/>
    <col min="15" max="15" width="13.5703125" style="715" customWidth="1"/>
    <col min="16" max="16" width="16.5703125" style="715" customWidth="1"/>
    <col min="17" max="17" width="17.5703125" style="715" customWidth="1"/>
    <col min="18" max="18" width="29.85546875" style="715" customWidth="1"/>
    <col min="19" max="19" width="8.7109375" style="715"/>
    <col min="20" max="20" width="10.28515625" style="715" bestFit="1" customWidth="1"/>
    <col min="21" max="21" width="13.28515625" style="715" bestFit="1" customWidth="1"/>
    <col min="22" max="16384" width="8.7109375" style="715"/>
  </cols>
  <sheetData>
    <row r="1" spans="2:16" ht="13.5" thickBot="1" x14ac:dyDescent="0.25"/>
    <row r="2" spans="2:16" ht="18.75" thickTop="1" x14ac:dyDescent="0.2">
      <c r="B2" s="72"/>
      <c r="C2" s="73"/>
      <c r="D2" s="73"/>
      <c r="E2" s="73"/>
      <c r="F2" s="2174" t="s">
        <v>182</v>
      </c>
      <c r="G2" s="2174"/>
      <c r="H2" s="2174"/>
      <c r="I2" s="2174"/>
      <c r="J2" s="2174"/>
      <c r="K2" s="2174"/>
      <c r="L2" s="2174"/>
      <c r="M2" s="2174"/>
      <c r="N2" s="2174"/>
      <c r="O2" s="2175"/>
      <c r="P2" s="2178" t="s">
        <v>67</v>
      </c>
    </row>
    <row r="3" spans="2:16" ht="18" x14ac:dyDescent="0.2">
      <c r="B3" s="74"/>
      <c r="C3" s="7"/>
      <c r="D3" s="7"/>
      <c r="E3" s="7"/>
      <c r="F3" s="2465" t="s">
        <v>183</v>
      </c>
      <c r="G3" s="2465"/>
      <c r="H3" s="2465"/>
      <c r="I3" s="2465"/>
      <c r="J3" s="2465"/>
      <c r="K3" s="2465"/>
      <c r="L3" s="2465"/>
      <c r="M3" s="2465"/>
      <c r="N3" s="2465"/>
      <c r="O3" s="2466"/>
      <c r="P3" s="2464"/>
    </row>
    <row r="4" spans="2:16" ht="14.25" x14ac:dyDescent="0.2">
      <c r="B4" s="2182" t="s">
        <v>33</v>
      </c>
      <c r="C4" s="2183"/>
      <c r="D4" s="2183"/>
      <c r="E4" s="2183"/>
      <c r="F4" s="2183"/>
      <c r="G4" s="2183"/>
      <c r="H4" s="2183"/>
      <c r="I4" s="2183"/>
      <c r="J4" s="2183"/>
      <c r="K4" s="2183"/>
      <c r="L4" s="2183"/>
      <c r="M4" s="2183"/>
      <c r="N4" s="2183"/>
      <c r="O4" s="2604"/>
      <c r="P4" s="2605" t="s">
        <v>30</v>
      </c>
    </row>
    <row r="5" spans="2:16" ht="15" thickBot="1" x14ac:dyDescent="0.25">
      <c r="B5" s="2373" t="str">
        <f>'SMART WARNET'!B5:O5</f>
        <v>Tahun Anggaran 2020</v>
      </c>
      <c r="C5" s="2374"/>
      <c r="D5" s="2374"/>
      <c r="E5" s="2374"/>
      <c r="F5" s="2374"/>
      <c r="G5" s="2374"/>
      <c r="H5" s="2374"/>
      <c r="I5" s="2374"/>
      <c r="J5" s="2374"/>
      <c r="K5" s="2374"/>
      <c r="L5" s="2374"/>
      <c r="M5" s="2374"/>
      <c r="N5" s="2374"/>
      <c r="O5" s="2470"/>
      <c r="P5" s="2606"/>
    </row>
    <row r="6" spans="2:16" ht="14.25" x14ac:dyDescent="0.2">
      <c r="B6" s="2462" t="s">
        <v>453</v>
      </c>
      <c r="C6" s="2463"/>
      <c r="D6" s="2463"/>
      <c r="E6" s="2463"/>
      <c r="F6" s="2463"/>
      <c r="G6" s="2463"/>
      <c r="H6" s="2463"/>
      <c r="I6" s="2463"/>
      <c r="J6" s="2463"/>
      <c r="K6" s="2463"/>
      <c r="L6" s="1788" t="s">
        <v>442</v>
      </c>
      <c r="M6" s="2213" t="s">
        <v>437</v>
      </c>
      <c r="N6" s="2213"/>
      <c r="O6" s="2213"/>
      <c r="P6" s="2214"/>
    </row>
    <row r="7" spans="2:16" ht="14.25" x14ac:dyDescent="0.2">
      <c r="B7" s="2471" t="s">
        <v>19</v>
      </c>
      <c r="C7" s="2355"/>
      <c r="D7" s="2355"/>
      <c r="E7" s="2355"/>
      <c r="F7" s="2355"/>
      <c r="G7" s="2355"/>
      <c r="H7" s="2355"/>
      <c r="I7" s="2355"/>
      <c r="J7" s="2355"/>
      <c r="K7" s="2355"/>
      <c r="L7" s="1786" t="s">
        <v>441</v>
      </c>
      <c r="M7" s="2541" t="s">
        <v>466</v>
      </c>
      <c r="N7" s="2541"/>
      <c r="O7" s="2541"/>
      <c r="P7" s="2542"/>
    </row>
    <row r="8" spans="2:16" ht="14.25" x14ac:dyDescent="0.2">
      <c r="B8" s="2722" t="s">
        <v>32</v>
      </c>
      <c r="C8" s="2723"/>
      <c r="D8" s="2723"/>
      <c r="E8" s="2723"/>
      <c r="F8" s="2723"/>
      <c r="G8" s="2723"/>
      <c r="H8" s="2723"/>
      <c r="I8" s="2723"/>
      <c r="J8" s="2723"/>
      <c r="K8" s="2723"/>
      <c r="L8" s="1790" t="s">
        <v>254</v>
      </c>
      <c r="M8" s="2593" t="s">
        <v>561</v>
      </c>
      <c r="N8" s="2593"/>
      <c r="O8" s="2593"/>
      <c r="P8" s="2594"/>
    </row>
    <row r="9" spans="2:16" ht="27" customHeight="1" x14ac:dyDescent="0.2">
      <c r="B9" s="2302" t="s">
        <v>20</v>
      </c>
      <c r="C9" s="2303"/>
      <c r="D9" s="2303"/>
      <c r="E9" s="2303"/>
      <c r="F9" s="2303"/>
      <c r="G9" s="2303"/>
      <c r="H9" s="2303"/>
      <c r="I9" s="2303"/>
      <c r="J9" s="2303"/>
      <c r="K9" s="2303"/>
      <c r="L9" s="453" t="s">
        <v>566</v>
      </c>
      <c r="M9" s="2730" t="s">
        <v>567</v>
      </c>
      <c r="N9" s="2730"/>
      <c r="O9" s="2730"/>
      <c r="P9" s="2731"/>
    </row>
    <row r="10" spans="2:16" ht="14.25" x14ac:dyDescent="0.2">
      <c r="B10" s="2471" t="s">
        <v>221</v>
      </c>
      <c r="C10" s="2355"/>
      <c r="D10" s="2355"/>
      <c r="E10" s="2355"/>
      <c r="F10" s="2355"/>
      <c r="G10" s="2355"/>
      <c r="H10" s="2355"/>
      <c r="I10" s="2355"/>
      <c r="J10" s="2355"/>
      <c r="K10" s="2355"/>
      <c r="L10" s="2475" t="s">
        <v>899</v>
      </c>
      <c r="M10" s="2475"/>
      <c r="N10" s="2475"/>
      <c r="O10" s="2475"/>
      <c r="P10" s="2476"/>
    </row>
    <row r="11" spans="2:16" ht="14.25" x14ac:dyDescent="0.2">
      <c r="B11" s="2471" t="s">
        <v>222</v>
      </c>
      <c r="C11" s="2355"/>
      <c r="D11" s="2355"/>
      <c r="E11" s="2355"/>
      <c r="F11" s="2355"/>
      <c r="G11" s="2355"/>
      <c r="H11" s="2355"/>
      <c r="I11" s="2355"/>
      <c r="J11" s="2355"/>
      <c r="K11" s="2355"/>
      <c r="L11" s="35">
        <v>0</v>
      </c>
      <c r="M11" s="35"/>
      <c r="N11" s="35"/>
      <c r="O11" s="35"/>
      <c r="P11" s="77"/>
    </row>
    <row r="12" spans="2:16" ht="14.25" x14ac:dyDescent="0.2">
      <c r="B12" s="2471" t="s">
        <v>223</v>
      </c>
      <c r="C12" s="2355"/>
      <c r="D12" s="2355"/>
      <c r="E12" s="2355"/>
      <c r="F12" s="2355"/>
      <c r="G12" s="2355"/>
      <c r="H12" s="2355"/>
      <c r="I12" s="2355"/>
      <c r="J12" s="2355"/>
      <c r="K12" s="2355"/>
      <c r="L12" s="152">
        <f>+P29</f>
        <v>388505100</v>
      </c>
      <c r="M12" s="35"/>
      <c r="N12" s="35"/>
      <c r="O12" s="35"/>
      <c r="P12" s="77"/>
    </row>
    <row r="13" spans="2:16" ht="14.25" x14ac:dyDescent="0.2">
      <c r="B13" s="2471" t="s">
        <v>224</v>
      </c>
      <c r="C13" s="2355"/>
      <c r="D13" s="2355"/>
      <c r="E13" s="2355"/>
      <c r="F13" s="2355"/>
      <c r="G13" s="2355"/>
      <c r="H13" s="2355"/>
      <c r="I13" s="2355"/>
      <c r="J13" s="2355"/>
      <c r="K13" s="2355"/>
      <c r="L13" s="152">
        <v>30000000</v>
      </c>
      <c r="M13" s="35"/>
      <c r="N13" s="35"/>
      <c r="O13" s="35"/>
      <c r="P13" s="77"/>
    </row>
    <row r="14" spans="2:16" ht="14.25" x14ac:dyDescent="0.2">
      <c r="B14" s="2479" t="s">
        <v>225</v>
      </c>
      <c r="C14" s="2289"/>
      <c r="D14" s="2289"/>
      <c r="E14" s="2289"/>
      <c r="F14" s="2289"/>
      <c r="G14" s="2289"/>
      <c r="H14" s="2289"/>
      <c r="I14" s="2289"/>
      <c r="J14" s="2289"/>
      <c r="K14" s="2289"/>
      <c r="L14" s="2289"/>
      <c r="M14" s="2289"/>
      <c r="N14" s="2289"/>
      <c r="O14" s="2289"/>
      <c r="P14" s="2290"/>
    </row>
    <row r="15" spans="2:16" ht="14.25" x14ac:dyDescent="0.2">
      <c r="B15" s="2479" t="s">
        <v>36</v>
      </c>
      <c r="C15" s="2289"/>
      <c r="D15" s="2289"/>
      <c r="E15" s="2289"/>
      <c r="F15" s="2289"/>
      <c r="G15" s="2289"/>
      <c r="H15" s="2289"/>
      <c r="I15" s="2289"/>
      <c r="J15" s="2289"/>
      <c r="K15" s="2512"/>
      <c r="L15" s="2607" t="s">
        <v>226</v>
      </c>
      <c r="M15" s="2289"/>
      <c r="N15" s="2512"/>
      <c r="O15" s="2607" t="s">
        <v>227</v>
      </c>
      <c r="P15" s="2290"/>
    </row>
    <row r="16" spans="2:16" ht="14.25" x14ac:dyDescent="0.2">
      <c r="B16" s="2454" t="s">
        <v>37</v>
      </c>
      <c r="C16" s="2286"/>
      <c r="D16" s="2286"/>
      <c r="E16" s="2286"/>
      <c r="F16" s="2286"/>
      <c r="G16" s="2286"/>
      <c r="H16" s="2286"/>
      <c r="I16" s="2286"/>
      <c r="J16" s="2286"/>
      <c r="K16" s="2724"/>
      <c r="L16" s="2725" t="s">
        <v>779</v>
      </c>
      <c r="M16" s="2726"/>
      <c r="N16" s="2727"/>
      <c r="O16" s="2728">
        <v>1</v>
      </c>
      <c r="P16" s="2729"/>
    </row>
    <row r="17" spans="2:18" ht="14.25" x14ac:dyDescent="0.2">
      <c r="B17" s="2454" t="s">
        <v>228</v>
      </c>
      <c r="C17" s="2286"/>
      <c r="D17" s="2286"/>
      <c r="E17" s="2286"/>
      <c r="F17" s="2286"/>
      <c r="G17" s="2286"/>
      <c r="H17" s="2286"/>
      <c r="I17" s="2286"/>
      <c r="J17" s="2286"/>
      <c r="K17" s="2724"/>
      <c r="L17" s="2228" t="s">
        <v>287</v>
      </c>
      <c r="M17" s="2228"/>
      <c r="N17" s="2708"/>
      <c r="O17" s="2610">
        <f>P29</f>
        <v>388505100</v>
      </c>
      <c r="P17" s="2611"/>
    </row>
    <row r="18" spans="2:18" ht="27.6" customHeight="1" x14ac:dyDescent="0.2">
      <c r="B18" s="2584" t="s">
        <v>229</v>
      </c>
      <c r="C18" s="2585"/>
      <c r="D18" s="2585"/>
      <c r="E18" s="2585"/>
      <c r="F18" s="2585"/>
      <c r="G18" s="2585"/>
      <c r="H18" s="2585"/>
      <c r="I18" s="2585"/>
      <c r="J18" s="2585"/>
      <c r="K18" s="2732"/>
      <c r="L18" s="2733" t="s">
        <v>726</v>
      </c>
      <c r="M18" s="2734"/>
      <c r="N18" s="2735"/>
      <c r="O18" s="2728" t="s">
        <v>718</v>
      </c>
      <c r="P18" s="2729"/>
    </row>
    <row r="19" spans="2:18" s="836" customFormat="1" ht="14.25" x14ac:dyDescent="0.2">
      <c r="B19" s="2584" t="s">
        <v>230</v>
      </c>
      <c r="C19" s="2585"/>
      <c r="D19" s="2585"/>
      <c r="E19" s="2585"/>
      <c r="F19" s="2585"/>
      <c r="G19" s="2585"/>
      <c r="H19" s="2585"/>
      <c r="I19" s="2585"/>
      <c r="J19" s="2585"/>
      <c r="K19" s="2732"/>
      <c r="L19" s="2733" t="s">
        <v>780</v>
      </c>
      <c r="M19" s="2734"/>
      <c r="N19" s="2735"/>
      <c r="O19" s="2728">
        <v>0.9</v>
      </c>
      <c r="P19" s="2729"/>
    </row>
    <row r="20" spans="2:18" ht="14.25" x14ac:dyDescent="0.2">
      <c r="B20" s="2445"/>
      <c r="C20" s="2446"/>
      <c r="D20" s="2446"/>
      <c r="E20" s="2446"/>
      <c r="F20" s="2446"/>
      <c r="G20" s="2446"/>
      <c r="H20" s="2446"/>
      <c r="I20" s="2446"/>
      <c r="J20" s="2446"/>
      <c r="K20" s="2446"/>
      <c r="L20" s="2446"/>
      <c r="M20" s="2446"/>
      <c r="N20" s="2446"/>
      <c r="O20" s="2446"/>
      <c r="P20" s="2447"/>
    </row>
    <row r="21" spans="2:18" ht="14.25" x14ac:dyDescent="0.2">
      <c r="B21" s="2736" t="s">
        <v>721</v>
      </c>
      <c r="C21" s="2737"/>
      <c r="D21" s="2737"/>
      <c r="E21" s="2737"/>
      <c r="F21" s="2737"/>
      <c r="G21" s="2737"/>
      <c r="H21" s="2737"/>
      <c r="I21" s="2737"/>
      <c r="J21" s="2737"/>
      <c r="K21" s="2737"/>
      <c r="L21" s="2737"/>
      <c r="M21" s="2737"/>
      <c r="N21" s="2737"/>
      <c r="O21" s="2737"/>
      <c r="P21" s="2738"/>
    </row>
    <row r="22" spans="2:18" ht="14.25" x14ac:dyDescent="0.2">
      <c r="B22" s="2487" t="s">
        <v>231</v>
      </c>
      <c r="C22" s="2488"/>
      <c r="D22" s="2488"/>
      <c r="E22" s="2488"/>
      <c r="F22" s="2488"/>
      <c r="G22" s="2488"/>
      <c r="H22" s="2488"/>
      <c r="I22" s="2488"/>
      <c r="J22" s="2488"/>
      <c r="K22" s="2488"/>
      <c r="L22" s="2488"/>
      <c r="M22" s="2488"/>
      <c r="N22" s="2488"/>
      <c r="O22" s="2488"/>
      <c r="P22" s="2489"/>
    </row>
    <row r="23" spans="2:18" ht="14.25" x14ac:dyDescent="0.2">
      <c r="B23" s="2490" t="s">
        <v>38</v>
      </c>
      <c r="C23" s="2491"/>
      <c r="D23" s="2491"/>
      <c r="E23" s="2491"/>
      <c r="F23" s="2491"/>
      <c r="G23" s="2491"/>
      <c r="H23" s="2491"/>
      <c r="I23" s="2491"/>
      <c r="J23" s="2491"/>
      <c r="K23" s="2491"/>
      <c r="L23" s="2491"/>
      <c r="M23" s="2491"/>
      <c r="N23" s="2491"/>
      <c r="O23" s="2491"/>
      <c r="P23" s="2492"/>
    </row>
    <row r="24" spans="2:18" x14ac:dyDescent="0.2">
      <c r="B24" s="2493"/>
      <c r="C24" s="2264"/>
      <c r="D24" s="2264"/>
      <c r="E24" s="2264"/>
      <c r="F24" s="2264"/>
      <c r="G24" s="2264"/>
      <c r="H24" s="2264"/>
      <c r="I24" s="2264"/>
      <c r="J24" s="2264"/>
      <c r="K24" s="2494"/>
      <c r="L24" s="2741" t="s">
        <v>191</v>
      </c>
      <c r="M24" s="2742" t="s">
        <v>198</v>
      </c>
      <c r="N24" s="2499"/>
      <c r="O24" s="2743"/>
      <c r="P24" s="718"/>
    </row>
    <row r="25" spans="2:18" x14ac:dyDescent="0.2">
      <c r="B25" s="2448" t="s">
        <v>189</v>
      </c>
      <c r="C25" s="2449"/>
      <c r="D25" s="2449"/>
      <c r="E25" s="2449"/>
      <c r="F25" s="2449"/>
      <c r="G25" s="2449"/>
      <c r="H25" s="2449"/>
      <c r="I25" s="2449"/>
      <c r="J25" s="2449"/>
      <c r="K25" s="2450"/>
      <c r="L25" s="2405"/>
      <c r="M25" s="2744" t="s">
        <v>200</v>
      </c>
      <c r="N25" s="2741" t="s">
        <v>26</v>
      </c>
      <c r="O25" s="2741" t="s">
        <v>217</v>
      </c>
      <c r="P25" s="1789" t="s">
        <v>192</v>
      </c>
    </row>
    <row r="26" spans="2:18" x14ac:dyDescent="0.2">
      <c r="B26" s="2448" t="s">
        <v>197</v>
      </c>
      <c r="C26" s="2449"/>
      <c r="D26" s="2449"/>
      <c r="E26" s="2449"/>
      <c r="F26" s="2449"/>
      <c r="G26" s="2449"/>
      <c r="H26" s="2449"/>
      <c r="I26" s="2449"/>
      <c r="J26" s="2449"/>
      <c r="K26" s="2450"/>
      <c r="L26" s="2405"/>
      <c r="M26" s="2496"/>
      <c r="N26" s="2405"/>
      <c r="O26" s="2405"/>
      <c r="P26" s="1789" t="s">
        <v>193</v>
      </c>
    </row>
    <row r="27" spans="2:18" x14ac:dyDescent="0.2">
      <c r="B27" s="2451"/>
      <c r="C27" s="2452"/>
      <c r="D27" s="2452"/>
      <c r="E27" s="2452"/>
      <c r="F27" s="2452"/>
      <c r="G27" s="2452"/>
      <c r="H27" s="2452"/>
      <c r="I27" s="2452"/>
      <c r="J27" s="2452"/>
      <c r="K27" s="2453"/>
      <c r="L27" s="2406"/>
      <c r="M27" s="2497"/>
      <c r="N27" s="2406"/>
      <c r="O27" s="2406"/>
      <c r="P27" s="719"/>
    </row>
    <row r="28" spans="2:18" ht="13.5" thickBot="1" x14ac:dyDescent="0.25">
      <c r="B28" s="2483">
        <v>1</v>
      </c>
      <c r="C28" s="2484"/>
      <c r="D28" s="2484"/>
      <c r="E28" s="2484"/>
      <c r="F28" s="2484"/>
      <c r="G28" s="2484"/>
      <c r="H28" s="2484"/>
      <c r="I28" s="2484"/>
      <c r="J28" s="2484"/>
      <c r="K28" s="2485"/>
      <c r="L28" s="1077">
        <v>2</v>
      </c>
      <c r="M28" s="1077">
        <v>3</v>
      </c>
      <c r="N28" s="1077">
        <v>4</v>
      </c>
      <c r="O28" s="12">
        <v>5</v>
      </c>
      <c r="P28" s="79" t="s">
        <v>24</v>
      </c>
    </row>
    <row r="29" spans="2:18" ht="26.25" thickTop="1" x14ac:dyDescent="0.2">
      <c r="B29" s="1824">
        <v>1</v>
      </c>
      <c r="C29" s="1835" t="s">
        <v>440</v>
      </c>
      <c r="D29" s="1835" t="s">
        <v>142</v>
      </c>
      <c r="E29" s="1825"/>
      <c r="F29" s="743"/>
      <c r="G29" s="743">
        <v>5</v>
      </c>
      <c r="H29" s="743">
        <v>2</v>
      </c>
      <c r="I29" s="1836"/>
      <c r="J29" s="1837"/>
      <c r="K29" s="1837"/>
      <c r="L29" s="1869" t="s">
        <v>108</v>
      </c>
      <c r="M29" s="478"/>
      <c r="N29" s="1870"/>
      <c r="O29" s="1871"/>
      <c r="P29" s="638">
        <f>P30</f>
        <v>388505100</v>
      </c>
      <c r="Q29" s="2133">
        <v>467490200</v>
      </c>
    </row>
    <row r="30" spans="2:18" ht="25.5" x14ac:dyDescent="0.2">
      <c r="B30" s="355">
        <v>1</v>
      </c>
      <c r="C30" s="745" t="s">
        <v>440</v>
      </c>
      <c r="D30" s="745" t="s">
        <v>142</v>
      </c>
      <c r="E30" s="357">
        <v>15</v>
      </c>
      <c r="F30" s="461"/>
      <c r="G30" s="461"/>
      <c r="H30" s="461"/>
      <c r="I30" s="461"/>
      <c r="J30" s="1727"/>
      <c r="K30" s="1727"/>
      <c r="L30" s="472" t="s">
        <v>561</v>
      </c>
      <c r="M30" s="1387"/>
      <c r="N30" s="100"/>
      <c r="O30" s="101"/>
      <c r="P30" s="638">
        <f>P31</f>
        <v>388505100</v>
      </c>
      <c r="Q30" s="1223"/>
    </row>
    <row r="31" spans="2:18" ht="25.5" x14ac:dyDescent="0.2">
      <c r="B31" s="355">
        <v>1</v>
      </c>
      <c r="C31" s="745" t="s">
        <v>440</v>
      </c>
      <c r="D31" s="745" t="s">
        <v>142</v>
      </c>
      <c r="E31" s="461">
        <v>15</v>
      </c>
      <c r="F31" s="474" t="s">
        <v>164</v>
      </c>
      <c r="G31" s="461"/>
      <c r="H31" s="461"/>
      <c r="I31" s="474"/>
      <c r="J31" s="1727"/>
      <c r="K31" s="1727"/>
      <c r="L31" s="473" t="s">
        <v>567</v>
      </c>
      <c r="M31" s="1391"/>
      <c r="N31" s="1224"/>
      <c r="O31" s="1225"/>
      <c r="P31" s="638">
        <f>SUM(P33+P61)</f>
        <v>388505100</v>
      </c>
      <c r="Q31" s="725"/>
      <c r="R31" s="725"/>
    </row>
    <row r="32" spans="2:18" x14ac:dyDescent="0.2">
      <c r="B32" s="355"/>
      <c r="C32" s="745"/>
      <c r="D32" s="745"/>
      <c r="E32" s="357"/>
      <c r="F32" s="745"/>
      <c r="G32" s="358"/>
      <c r="H32" s="358"/>
      <c r="I32" s="358"/>
      <c r="J32" s="1727"/>
      <c r="K32" s="1838"/>
      <c r="L32" s="1226"/>
      <c r="M32" s="1387"/>
      <c r="N32" s="100"/>
      <c r="O32" s="101"/>
      <c r="P32" s="259"/>
    </row>
    <row r="33" spans="1:345" ht="12.95" customHeight="1" x14ac:dyDescent="0.2">
      <c r="B33" s="355">
        <v>1</v>
      </c>
      <c r="C33" s="745" t="s">
        <v>440</v>
      </c>
      <c r="D33" s="745" t="s">
        <v>142</v>
      </c>
      <c r="E33" s="461">
        <v>15</v>
      </c>
      <c r="F33" s="474" t="s">
        <v>164</v>
      </c>
      <c r="G33" s="1826">
        <v>5</v>
      </c>
      <c r="H33" s="1826">
        <v>2</v>
      </c>
      <c r="I33" s="1826">
        <v>1</v>
      </c>
      <c r="J33" s="1826"/>
      <c r="K33" s="1826"/>
      <c r="L33" s="1854" t="s">
        <v>86</v>
      </c>
      <c r="M33" s="1391"/>
      <c r="N33" s="1855"/>
      <c r="O33" s="1856"/>
      <c r="P33" s="1857">
        <f>P34+P53</f>
        <v>13100000</v>
      </c>
    </row>
    <row r="34" spans="1:345" s="1229" customFormat="1" ht="12.95" customHeight="1" x14ac:dyDescent="0.2">
      <c r="A34" s="1451"/>
      <c r="B34" s="355">
        <v>1</v>
      </c>
      <c r="C34" s="745" t="s">
        <v>440</v>
      </c>
      <c r="D34" s="745" t="s">
        <v>142</v>
      </c>
      <c r="E34" s="461">
        <v>15</v>
      </c>
      <c r="F34" s="474" t="s">
        <v>164</v>
      </c>
      <c r="G34" s="1826">
        <v>5</v>
      </c>
      <c r="H34" s="1826">
        <v>2</v>
      </c>
      <c r="I34" s="1826">
        <v>1</v>
      </c>
      <c r="J34" s="1839" t="s">
        <v>142</v>
      </c>
      <c r="K34" s="1826"/>
      <c r="L34" s="1858" t="s">
        <v>159</v>
      </c>
      <c r="M34" s="1391"/>
      <c r="N34" s="1859"/>
      <c r="O34" s="1860"/>
      <c r="P34" s="1857">
        <f>SUM(P35+P38)</f>
        <v>1800000</v>
      </c>
      <c r="Q34" s="1451"/>
      <c r="R34" s="1451"/>
      <c r="S34" s="1451"/>
      <c r="T34" s="1451"/>
      <c r="U34" s="1451"/>
      <c r="V34" s="1451"/>
      <c r="W34" s="1451"/>
      <c r="X34" s="1451"/>
      <c r="Y34" s="1451"/>
      <c r="Z34" s="1451"/>
      <c r="AA34" s="1451"/>
      <c r="AB34" s="1451"/>
      <c r="AC34" s="1451"/>
      <c r="AD34" s="1451"/>
      <c r="AE34" s="1451"/>
      <c r="AF34" s="1451"/>
      <c r="AG34" s="1451"/>
      <c r="AH34" s="1451"/>
      <c r="AI34" s="1451"/>
      <c r="AJ34" s="1451"/>
      <c r="AK34" s="1451"/>
      <c r="AL34" s="1451"/>
      <c r="AM34" s="1451"/>
      <c r="AN34" s="1451"/>
      <c r="AO34" s="1451"/>
      <c r="AP34" s="1451"/>
      <c r="AQ34" s="1451"/>
      <c r="AR34" s="1451"/>
      <c r="AS34" s="1451"/>
      <c r="AT34" s="1451"/>
      <c r="AU34" s="1451"/>
      <c r="AV34" s="1451"/>
      <c r="AW34" s="1451"/>
      <c r="AX34" s="1451"/>
      <c r="AY34" s="1451"/>
      <c r="AZ34" s="1451"/>
      <c r="BA34" s="1451"/>
      <c r="BB34" s="1451"/>
      <c r="BC34" s="1451"/>
      <c r="BD34" s="1451"/>
      <c r="BE34" s="1451"/>
      <c r="BF34" s="1451"/>
      <c r="BG34" s="1451"/>
      <c r="BH34" s="1451"/>
      <c r="BI34" s="1451"/>
      <c r="BJ34" s="1451"/>
      <c r="BK34" s="1451"/>
      <c r="BL34" s="1451"/>
      <c r="BM34" s="1451"/>
      <c r="BN34" s="1451"/>
      <c r="BO34" s="1451"/>
      <c r="BP34" s="1451"/>
      <c r="BQ34" s="1451"/>
      <c r="BR34" s="1451"/>
      <c r="BS34" s="1451"/>
      <c r="BT34" s="1451"/>
      <c r="BU34" s="1451"/>
      <c r="BV34" s="1451"/>
      <c r="BW34" s="1451"/>
      <c r="BX34" s="1451"/>
      <c r="BY34" s="1451"/>
      <c r="BZ34" s="1451"/>
      <c r="CA34" s="1451"/>
      <c r="CB34" s="1451"/>
      <c r="CC34" s="1451"/>
      <c r="CD34" s="1451"/>
      <c r="CE34" s="1451"/>
      <c r="CF34" s="1451"/>
      <c r="CG34" s="1451"/>
      <c r="CH34" s="1451"/>
      <c r="CI34" s="1451"/>
      <c r="CJ34" s="1451"/>
      <c r="CK34" s="1451"/>
      <c r="CL34" s="1451"/>
      <c r="CM34" s="1451"/>
      <c r="CN34" s="1451"/>
      <c r="CO34" s="1451"/>
      <c r="CP34" s="1451"/>
      <c r="CQ34" s="1451"/>
      <c r="CR34" s="1451"/>
      <c r="CS34" s="1451"/>
      <c r="CT34" s="1451"/>
      <c r="CU34" s="1451"/>
      <c r="CV34" s="1451"/>
      <c r="CW34" s="1451"/>
      <c r="CX34" s="1451"/>
      <c r="CY34" s="1451"/>
      <c r="CZ34" s="1451"/>
      <c r="DA34" s="1451"/>
      <c r="DB34" s="1451"/>
      <c r="DC34" s="1451"/>
      <c r="DD34" s="1451"/>
      <c r="DE34" s="1451"/>
      <c r="DF34" s="1451"/>
      <c r="DG34" s="1451"/>
      <c r="DH34" s="1451"/>
      <c r="DI34" s="1451"/>
      <c r="DJ34" s="1451"/>
      <c r="DK34" s="1451"/>
      <c r="DL34" s="1451"/>
      <c r="DM34" s="1451"/>
      <c r="DN34" s="1451"/>
      <c r="DO34" s="1451"/>
      <c r="DP34" s="1451"/>
      <c r="DQ34" s="1451"/>
      <c r="DR34" s="1451"/>
      <c r="DS34" s="1451"/>
      <c r="DT34" s="1451"/>
      <c r="DU34" s="1451"/>
      <c r="DV34" s="1451"/>
      <c r="DW34" s="1451"/>
      <c r="DX34" s="1451"/>
      <c r="DY34" s="1451"/>
      <c r="DZ34" s="1451"/>
      <c r="EA34" s="1451"/>
      <c r="EB34" s="1451"/>
      <c r="EC34" s="1451"/>
      <c r="ED34" s="1451"/>
      <c r="EE34" s="1451"/>
      <c r="EF34" s="1451"/>
      <c r="EG34" s="1451"/>
      <c r="EH34" s="1451"/>
      <c r="EI34" s="1451"/>
      <c r="EJ34" s="1451"/>
      <c r="EK34" s="1451"/>
      <c r="EL34" s="1451"/>
      <c r="EM34" s="1451"/>
      <c r="EN34" s="1451"/>
      <c r="EO34" s="1451"/>
      <c r="EP34" s="1451"/>
      <c r="EQ34" s="1451"/>
      <c r="ER34" s="1451"/>
      <c r="ES34" s="1451"/>
      <c r="ET34" s="1451"/>
      <c r="EU34" s="1451"/>
      <c r="EV34" s="1451"/>
      <c r="EW34" s="1451"/>
      <c r="EX34" s="1451"/>
      <c r="EY34" s="1451"/>
      <c r="EZ34" s="1451"/>
      <c r="FA34" s="1451"/>
      <c r="FB34" s="1451"/>
      <c r="FC34" s="1451"/>
      <c r="FD34" s="1451"/>
      <c r="FE34" s="1451"/>
      <c r="FF34" s="1451"/>
      <c r="FG34" s="1451"/>
      <c r="FH34" s="1451"/>
      <c r="FI34" s="1451"/>
      <c r="FJ34" s="1451"/>
      <c r="FK34" s="1451"/>
      <c r="FL34" s="1451"/>
      <c r="FM34" s="1451"/>
      <c r="FN34" s="1451"/>
      <c r="FO34" s="1451"/>
      <c r="FP34" s="1451"/>
      <c r="FQ34" s="1451"/>
      <c r="FR34" s="1451"/>
      <c r="FS34" s="1451"/>
      <c r="FT34" s="1451"/>
      <c r="FU34" s="1451"/>
      <c r="FV34" s="1451"/>
      <c r="FW34" s="1451"/>
      <c r="FX34" s="1451"/>
      <c r="FY34" s="1451"/>
      <c r="FZ34" s="1451"/>
      <c r="GA34" s="1451"/>
      <c r="GB34" s="1451"/>
      <c r="GC34" s="1451"/>
      <c r="GD34" s="1451"/>
      <c r="GE34" s="1451"/>
      <c r="GF34" s="1451"/>
      <c r="GG34" s="1451"/>
      <c r="GH34" s="1451"/>
      <c r="GI34" s="1451"/>
      <c r="GJ34" s="1451"/>
      <c r="GK34" s="1451"/>
      <c r="GL34" s="1451"/>
      <c r="GM34" s="1451"/>
      <c r="GN34" s="1451"/>
      <c r="GO34" s="1451"/>
      <c r="GP34" s="1451"/>
      <c r="GQ34" s="1451"/>
      <c r="GR34" s="1451"/>
      <c r="GS34" s="1451"/>
      <c r="GT34" s="1451"/>
      <c r="GU34" s="1451"/>
      <c r="GV34" s="1451"/>
      <c r="GW34" s="1451"/>
      <c r="GX34" s="1451"/>
      <c r="GY34" s="1451"/>
      <c r="GZ34" s="1451"/>
      <c r="HA34" s="1451"/>
      <c r="HB34" s="1451"/>
      <c r="HC34" s="1451"/>
      <c r="HD34" s="1451"/>
      <c r="HE34" s="1451"/>
      <c r="HF34" s="1451"/>
      <c r="HG34" s="1451"/>
      <c r="HH34" s="1451"/>
      <c r="HI34" s="1451"/>
      <c r="HJ34" s="1451"/>
      <c r="HK34" s="1451"/>
      <c r="HL34" s="1451"/>
      <c r="HM34" s="1451"/>
      <c r="HN34" s="1451"/>
      <c r="HO34" s="1451"/>
      <c r="HP34" s="1451"/>
      <c r="HQ34" s="1451"/>
      <c r="HR34" s="1451"/>
      <c r="HS34" s="1451"/>
      <c r="HT34" s="1451"/>
      <c r="HU34" s="1451"/>
      <c r="HV34" s="1451"/>
      <c r="HW34" s="1451"/>
      <c r="HX34" s="1451"/>
      <c r="HY34" s="1451"/>
      <c r="HZ34" s="1451"/>
      <c r="IA34" s="1451"/>
      <c r="IB34" s="1451"/>
      <c r="IC34" s="1451"/>
      <c r="ID34" s="1451"/>
      <c r="IE34" s="1451"/>
      <c r="IF34" s="1451"/>
      <c r="IG34" s="1451"/>
      <c r="IH34" s="1451"/>
      <c r="II34" s="1451"/>
      <c r="IJ34" s="1451"/>
      <c r="IK34" s="1451"/>
      <c r="IL34" s="1451"/>
      <c r="IM34" s="1451"/>
      <c r="IN34" s="1451"/>
      <c r="IO34" s="1451"/>
      <c r="IP34" s="1451"/>
      <c r="IQ34" s="1451"/>
      <c r="IR34" s="1451"/>
      <c r="IS34" s="1451"/>
      <c r="IT34" s="1451"/>
      <c r="IU34" s="1451"/>
      <c r="IV34" s="1451"/>
      <c r="IW34" s="1451"/>
      <c r="IX34" s="1451"/>
      <c r="IY34" s="1451"/>
      <c r="IZ34" s="1451"/>
      <c r="JA34" s="1451"/>
      <c r="JB34" s="1451"/>
      <c r="JC34" s="1451"/>
      <c r="JD34" s="1451"/>
      <c r="JE34" s="1451"/>
      <c r="JF34" s="1451"/>
      <c r="JG34" s="1451"/>
      <c r="JH34" s="1451"/>
      <c r="JI34" s="1451"/>
      <c r="JJ34" s="1451"/>
      <c r="JK34" s="1451"/>
      <c r="JL34" s="1451"/>
      <c r="JM34" s="1451"/>
      <c r="JN34" s="1451"/>
      <c r="JO34" s="1451"/>
      <c r="JP34" s="1451"/>
      <c r="JQ34" s="1451"/>
      <c r="JR34" s="1451"/>
      <c r="JS34" s="1451"/>
      <c r="JT34" s="1451"/>
      <c r="JU34" s="1451"/>
      <c r="JV34" s="1451"/>
      <c r="JW34" s="1451"/>
      <c r="JX34" s="1451"/>
      <c r="JY34" s="1451"/>
      <c r="JZ34" s="1451"/>
      <c r="KA34" s="1451"/>
      <c r="KB34" s="1451"/>
      <c r="KC34" s="1451"/>
      <c r="KD34" s="1451"/>
      <c r="KE34" s="1451"/>
      <c r="KF34" s="1451"/>
      <c r="KG34" s="1451"/>
      <c r="KH34" s="1451"/>
      <c r="KI34" s="1451"/>
      <c r="KJ34" s="1451"/>
      <c r="KK34" s="1451"/>
      <c r="KL34" s="1451"/>
      <c r="KM34" s="1451"/>
      <c r="KN34" s="1451"/>
      <c r="KO34" s="1451"/>
      <c r="KP34" s="1451"/>
      <c r="KQ34" s="1451"/>
      <c r="KR34" s="1451"/>
      <c r="KS34" s="1451"/>
      <c r="KT34" s="1451"/>
      <c r="KU34" s="1451"/>
      <c r="KV34" s="1451"/>
      <c r="KW34" s="1451"/>
      <c r="KX34" s="1451"/>
      <c r="KY34" s="1451"/>
      <c r="KZ34" s="1451"/>
      <c r="LA34" s="1451"/>
      <c r="LB34" s="1451"/>
      <c r="LC34" s="1451"/>
      <c r="LD34" s="1451"/>
      <c r="LE34" s="1451"/>
      <c r="LF34" s="1451"/>
      <c r="LG34" s="1451"/>
      <c r="LH34" s="1451"/>
      <c r="LI34" s="1451"/>
      <c r="LJ34" s="1451"/>
      <c r="LK34" s="1451"/>
      <c r="LL34" s="1451"/>
      <c r="LM34" s="1451"/>
      <c r="LN34" s="1451"/>
      <c r="LO34" s="1451"/>
      <c r="LP34" s="1451"/>
      <c r="LQ34" s="1451"/>
      <c r="LR34" s="1451"/>
      <c r="LS34" s="1451"/>
      <c r="LT34" s="1451"/>
      <c r="LU34" s="1451"/>
      <c r="LV34" s="1451"/>
      <c r="LW34" s="1451"/>
      <c r="LX34" s="1451"/>
      <c r="LY34" s="1451"/>
      <c r="LZ34" s="1451"/>
      <c r="MA34" s="1451"/>
      <c r="MB34" s="1451"/>
      <c r="MC34" s="1451"/>
      <c r="MD34" s="1451"/>
      <c r="ME34" s="1451"/>
      <c r="MF34" s="1451"/>
      <c r="MG34" s="1451"/>
    </row>
    <row r="35" spans="1:345" s="1229" customFormat="1" ht="12.95" customHeight="1" x14ac:dyDescent="0.2">
      <c r="A35" s="1451"/>
      <c r="B35" s="355">
        <v>1</v>
      </c>
      <c r="C35" s="745" t="s">
        <v>440</v>
      </c>
      <c r="D35" s="745" t="s">
        <v>142</v>
      </c>
      <c r="E35" s="461">
        <v>15</v>
      </c>
      <c r="F35" s="474" t="s">
        <v>164</v>
      </c>
      <c r="G35" s="1826">
        <v>5</v>
      </c>
      <c r="H35" s="1826">
        <v>2</v>
      </c>
      <c r="I35" s="1826">
        <v>1</v>
      </c>
      <c r="J35" s="1839" t="s">
        <v>142</v>
      </c>
      <c r="K35" s="1839" t="s">
        <v>142</v>
      </c>
      <c r="L35" s="1861" t="s">
        <v>143</v>
      </c>
      <c r="M35" s="1392"/>
      <c r="N35" s="1570"/>
      <c r="O35" s="1855"/>
      <c r="P35" s="1572">
        <f>P36</f>
        <v>1800000</v>
      </c>
      <c r="Q35" s="1451"/>
      <c r="R35" s="1451"/>
      <c r="S35" s="1451"/>
      <c r="T35" s="1451"/>
      <c r="U35" s="1451"/>
      <c r="V35" s="1451"/>
      <c r="W35" s="1451"/>
      <c r="X35" s="1451"/>
      <c r="Y35" s="1451"/>
      <c r="Z35" s="1451"/>
      <c r="AA35" s="1451"/>
      <c r="AB35" s="1451"/>
      <c r="AC35" s="1451"/>
      <c r="AD35" s="1451"/>
      <c r="AE35" s="1451"/>
      <c r="AF35" s="1451"/>
      <c r="AG35" s="1451"/>
      <c r="AH35" s="1451"/>
      <c r="AI35" s="1451"/>
      <c r="AJ35" s="1451"/>
      <c r="AK35" s="1451"/>
      <c r="AL35" s="1451"/>
      <c r="AM35" s="1451"/>
      <c r="AN35" s="1451"/>
      <c r="AO35" s="1451"/>
      <c r="AP35" s="1451"/>
      <c r="AQ35" s="1451"/>
      <c r="AR35" s="1451"/>
      <c r="AS35" s="1451"/>
      <c r="AT35" s="1451"/>
      <c r="AU35" s="1451"/>
      <c r="AV35" s="1451"/>
      <c r="AW35" s="1451"/>
      <c r="AX35" s="1451"/>
      <c r="AY35" s="1451"/>
      <c r="AZ35" s="1451"/>
      <c r="BA35" s="1451"/>
      <c r="BB35" s="1451"/>
      <c r="BC35" s="1451"/>
      <c r="BD35" s="1451"/>
      <c r="BE35" s="1451"/>
      <c r="BF35" s="1451"/>
      <c r="BG35" s="1451"/>
      <c r="BH35" s="1451"/>
      <c r="BI35" s="1451"/>
      <c r="BJ35" s="1451"/>
      <c r="BK35" s="1451"/>
      <c r="BL35" s="1451"/>
      <c r="BM35" s="1451"/>
      <c r="BN35" s="1451"/>
      <c r="BO35" s="1451"/>
      <c r="BP35" s="1451"/>
      <c r="BQ35" s="1451"/>
      <c r="BR35" s="1451"/>
      <c r="BS35" s="1451"/>
      <c r="BT35" s="1451"/>
      <c r="BU35" s="1451"/>
      <c r="BV35" s="1451"/>
      <c r="BW35" s="1451"/>
      <c r="BX35" s="1451"/>
      <c r="BY35" s="1451"/>
      <c r="BZ35" s="1451"/>
      <c r="CA35" s="1451"/>
      <c r="CB35" s="1451"/>
      <c r="CC35" s="1451"/>
      <c r="CD35" s="1451"/>
      <c r="CE35" s="1451"/>
      <c r="CF35" s="1451"/>
      <c r="CG35" s="1451"/>
      <c r="CH35" s="1451"/>
      <c r="CI35" s="1451"/>
      <c r="CJ35" s="1451"/>
      <c r="CK35" s="1451"/>
      <c r="CL35" s="1451"/>
      <c r="CM35" s="1451"/>
      <c r="CN35" s="1451"/>
      <c r="CO35" s="1451"/>
      <c r="CP35" s="1451"/>
      <c r="CQ35" s="1451"/>
      <c r="CR35" s="1451"/>
      <c r="CS35" s="1451"/>
      <c r="CT35" s="1451"/>
      <c r="CU35" s="1451"/>
      <c r="CV35" s="1451"/>
      <c r="CW35" s="1451"/>
      <c r="CX35" s="1451"/>
      <c r="CY35" s="1451"/>
      <c r="CZ35" s="1451"/>
      <c r="DA35" s="1451"/>
      <c r="DB35" s="1451"/>
      <c r="DC35" s="1451"/>
      <c r="DD35" s="1451"/>
      <c r="DE35" s="1451"/>
      <c r="DF35" s="1451"/>
      <c r="DG35" s="1451"/>
      <c r="DH35" s="1451"/>
      <c r="DI35" s="1451"/>
      <c r="DJ35" s="1451"/>
      <c r="DK35" s="1451"/>
      <c r="DL35" s="1451"/>
      <c r="DM35" s="1451"/>
      <c r="DN35" s="1451"/>
      <c r="DO35" s="1451"/>
      <c r="DP35" s="1451"/>
      <c r="DQ35" s="1451"/>
      <c r="DR35" s="1451"/>
      <c r="DS35" s="1451"/>
      <c r="DT35" s="1451"/>
      <c r="DU35" s="1451"/>
      <c r="DV35" s="1451"/>
      <c r="DW35" s="1451"/>
      <c r="DX35" s="1451"/>
      <c r="DY35" s="1451"/>
      <c r="DZ35" s="1451"/>
      <c r="EA35" s="1451"/>
      <c r="EB35" s="1451"/>
      <c r="EC35" s="1451"/>
      <c r="ED35" s="1451"/>
      <c r="EE35" s="1451"/>
      <c r="EF35" s="1451"/>
      <c r="EG35" s="1451"/>
      <c r="EH35" s="1451"/>
      <c r="EI35" s="1451"/>
      <c r="EJ35" s="1451"/>
      <c r="EK35" s="1451"/>
      <c r="EL35" s="1451"/>
      <c r="EM35" s="1451"/>
      <c r="EN35" s="1451"/>
      <c r="EO35" s="1451"/>
      <c r="EP35" s="1451"/>
      <c r="EQ35" s="1451"/>
      <c r="ER35" s="1451"/>
      <c r="ES35" s="1451"/>
      <c r="ET35" s="1451"/>
      <c r="EU35" s="1451"/>
      <c r="EV35" s="1451"/>
      <c r="EW35" s="1451"/>
      <c r="EX35" s="1451"/>
      <c r="EY35" s="1451"/>
      <c r="EZ35" s="1451"/>
      <c r="FA35" s="1451"/>
      <c r="FB35" s="1451"/>
      <c r="FC35" s="1451"/>
      <c r="FD35" s="1451"/>
      <c r="FE35" s="1451"/>
      <c r="FF35" s="1451"/>
      <c r="FG35" s="1451"/>
      <c r="FH35" s="1451"/>
      <c r="FI35" s="1451"/>
      <c r="FJ35" s="1451"/>
      <c r="FK35" s="1451"/>
      <c r="FL35" s="1451"/>
      <c r="FM35" s="1451"/>
      <c r="FN35" s="1451"/>
      <c r="FO35" s="1451"/>
      <c r="FP35" s="1451"/>
      <c r="FQ35" s="1451"/>
      <c r="FR35" s="1451"/>
      <c r="FS35" s="1451"/>
      <c r="FT35" s="1451"/>
      <c r="FU35" s="1451"/>
      <c r="FV35" s="1451"/>
      <c r="FW35" s="1451"/>
      <c r="FX35" s="1451"/>
      <c r="FY35" s="1451"/>
      <c r="FZ35" s="1451"/>
      <c r="GA35" s="1451"/>
      <c r="GB35" s="1451"/>
      <c r="GC35" s="1451"/>
      <c r="GD35" s="1451"/>
      <c r="GE35" s="1451"/>
      <c r="GF35" s="1451"/>
      <c r="GG35" s="1451"/>
      <c r="GH35" s="1451"/>
      <c r="GI35" s="1451"/>
      <c r="GJ35" s="1451"/>
      <c r="GK35" s="1451"/>
      <c r="GL35" s="1451"/>
      <c r="GM35" s="1451"/>
      <c r="GN35" s="1451"/>
      <c r="GO35" s="1451"/>
      <c r="GP35" s="1451"/>
      <c r="GQ35" s="1451"/>
      <c r="GR35" s="1451"/>
      <c r="GS35" s="1451"/>
      <c r="GT35" s="1451"/>
      <c r="GU35" s="1451"/>
      <c r="GV35" s="1451"/>
      <c r="GW35" s="1451"/>
      <c r="GX35" s="1451"/>
      <c r="GY35" s="1451"/>
      <c r="GZ35" s="1451"/>
      <c r="HA35" s="1451"/>
      <c r="HB35" s="1451"/>
      <c r="HC35" s="1451"/>
      <c r="HD35" s="1451"/>
      <c r="HE35" s="1451"/>
      <c r="HF35" s="1451"/>
      <c r="HG35" s="1451"/>
      <c r="HH35" s="1451"/>
      <c r="HI35" s="1451"/>
      <c r="HJ35" s="1451"/>
      <c r="HK35" s="1451"/>
      <c r="HL35" s="1451"/>
      <c r="HM35" s="1451"/>
      <c r="HN35" s="1451"/>
      <c r="HO35" s="1451"/>
      <c r="HP35" s="1451"/>
      <c r="HQ35" s="1451"/>
      <c r="HR35" s="1451"/>
      <c r="HS35" s="1451"/>
      <c r="HT35" s="1451"/>
      <c r="HU35" s="1451"/>
      <c r="HV35" s="1451"/>
      <c r="HW35" s="1451"/>
      <c r="HX35" s="1451"/>
      <c r="HY35" s="1451"/>
      <c r="HZ35" s="1451"/>
      <c r="IA35" s="1451"/>
      <c r="IB35" s="1451"/>
      <c r="IC35" s="1451"/>
      <c r="ID35" s="1451"/>
      <c r="IE35" s="1451"/>
      <c r="IF35" s="1451"/>
      <c r="IG35" s="1451"/>
      <c r="IH35" s="1451"/>
      <c r="II35" s="1451"/>
      <c r="IJ35" s="1451"/>
      <c r="IK35" s="1451"/>
      <c r="IL35" s="1451"/>
      <c r="IM35" s="1451"/>
      <c r="IN35" s="1451"/>
      <c r="IO35" s="1451"/>
      <c r="IP35" s="1451"/>
      <c r="IQ35" s="1451"/>
      <c r="IR35" s="1451"/>
      <c r="IS35" s="1451"/>
      <c r="IT35" s="1451"/>
      <c r="IU35" s="1451"/>
      <c r="IV35" s="1451"/>
      <c r="IW35" s="1451"/>
      <c r="IX35" s="1451"/>
      <c r="IY35" s="1451"/>
      <c r="IZ35" s="1451"/>
      <c r="JA35" s="1451"/>
      <c r="JB35" s="1451"/>
      <c r="JC35" s="1451"/>
      <c r="JD35" s="1451"/>
      <c r="JE35" s="1451"/>
      <c r="JF35" s="1451"/>
      <c r="JG35" s="1451"/>
      <c r="JH35" s="1451"/>
      <c r="JI35" s="1451"/>
      <c r="JJ35" s="1451"/>
      <c r="JK35" s="1451"/>
      <c r="JL35" s="1451"/>
      <c r="JM35" s="1451"/>
      <c r="JN35" s="1451"/>
      <c r="JO35" s="1451"/>
      <c r="JP35" s="1451"/>
      <c r="JQ35" s="1451"/>
      <c r="JR35" s="1451"/>
      <c r="JS35" s="1451"/>
      <c r="JT35" s="1451"/>
      <c r="JU35" s="1451"/>
      <c r="JV35" s="1451"/>
      <c r="JW35" s="1451"/>
      <c r="JX35" s="1451"/>
      <c r="JY35" s="1451"/>
      <c r="JZ35" s="1451"/>
      <c r="KA35" s="1451"/>
      <c r="KB35" s="1451"/>
      <c r="KC35" s="1451"/>
      <c r="KD35" s="1451"/>
      <c r="KE35" s="1451"/>
      <c r="KF35" s="1451"/>
      <c r="KG35" s="1451"/>
      <c r="KH35" s="1451"/>
      <c r="KI35" s="1451"/>
      <c r="KJ35" s="1451"/>
      <c r="KK35" s="1451"/>
      <c r="KL35" s="1451"/>
      <c r="KM35" s="1451"/>
      <c r="KN35" s="1451"/>
      <c r="KO35" s="1451"/>
      <c r="KP35" s="1451"/>
      <c r="KQ35" s="1451"/>
      <c r="KR35" s="1451"/>
      <c r="KS35" s="1451"/>
      <c r="KT35" s="1451"/>
      <c r="KU35" s="1451"/>
      <c r="KV35" s="1451"/>
      <c r="KW35" s="1451"/>
      <c r="KX35" s="1451"/>
      <c r="KY35" s="1451"/>
      <c r="KZ35" s="1451"/>
      <c r="LA35" s="1451"/>
      <c r="LB35" s="1451"/>
      <c r="LC35" s="1451"/>
      <c r="LD35" s="1451"/>
      <c r="LE35" s="1451"/>
      <c r="LF35" s="1451"/>
      <c r="LG35" s="1451"/>
      <c r="LH35" s="1451"/>
      <c r="LI35" s="1451"/>
      <c r="LJ35" s="1451"/>
      <c r="LK35" s="1451"/>
      <c r="LL35" s="1451"/>
      <c r="LM35" s="1451"/>
      <c r="LN35" s="1451"/>
      <c r="LO35" s="1451"/>
      <c r="LP35" s="1451"/>
      <c r="LQ35" s="1451"/>
      <c r="LR35" s="1451"/>
      <c r="LS35" s="1451"/>
      <c r="LT35" s="1451"/>
      <c r="LU35" s="1451"/>
      <c r="LV35" s="1451"/>
      <c r="LW35" s="1451"/>
      <c r="LX35" s="1451"/>
      <c r="LY35" s="1451"/>
      <c r="LZ35" s="1451"/>
      <c r="MA35" s="1451"/>
      <c r="MB35" s="1451"/>
      <c r="MC35" s="1451"/>
      <c r="MD35" s="1451"/>
      <c r="ME35" s="1451"/>
      <c r="MF35" s="1451"/>
      <c r="MG35" s="1451"/>
    </row>
    <row r="36" spans="1:345" s="1229" customFormat="1" x14ac:dyDescent="0.2">
      <c r="A36" s="1451"/>
      <c r="B36" s="1827"/>
      <c r="C36" s="1839"/>
      <c r="D36" s="1839"/>
      <c r="E36" s="1840"/>
      <c r="F36" s="1839"/>
      <c r="G36" s="1826"/>
      <c r="H36" s="1826"/>
      <c r="I36" s="1826"/>
      <c r="J36" s="1839"/>
      <c r="K36" s="1839"/>
      <c r="L36" s="1792" t="s">
        <v>1160</v>
      </c>
      <c r="M36" s="1392">
        <v>6</v>
      </c>
      <c r="N36" s="1230" t="s">
        <v>138</v>
      </c>
      <c r="O36" s="1232">
        <v>300000</v>
      </c>
      <c r="P36" s="1231">
        <f>O36*M36</f>
        <v>1800000</v>
      </c>
      <c r="Q36" s="1451"/>
      <c r="R36" s="1451"/>
      <c r="S36" s="1451"/>
      <c r="T36" s="1451"/>
      <c r="U36" s="1451"/>
      <c r="V36" s="1451"/>
      <c r="W36" s="1451"/>
      <c r="X36" s="1451"/>
      <c r="Y36" s="1451"/>
      <c r="Z36" s="1451"/>
      <c r="AA36" s="1451"/>
      <c r="AB36" s="1451"/>
      <c r="AC36" s="1451"/>
      <c r="AD36" s="1451"/>
      <c r="AE36" s="1451"/>
      <c r="AF36" s="1451"/>
      <c r="AG36" s="1451"/>
      <c r="AH36" s="1451"/>
      <c r="AI36" s="1451"/>
      <c r="AJ36" s="1451"/>
      <c r="AK36" s="1451"/>
      <c r="AL36" s="1451"/>
      <c r="AM36" s="1451"/>
      <c r="AN36" s="1451"/>
      <c r="AO36" s="1451"/>
      <c r="AP36" s="1451"/>
      <c r="AQ36" s="1451"/>
      <c r="AR36" s="1451"/>
      <c r="AS36" s="1451"/>
      <c r="AT36" s="1451"/>
      <c r="AU36" s="1451"/>
      <c r="AV36" s="1451"/>
      <c r="AW36" s="1451"/>
      <c r="AX36" s="1451"/>
      <c r="AY36" s="1451"/>
      <c r="AZ36" s="1451"/>
      <c r="BA36" s="1451"/>
      <c r="BB36" s="1451"/>
      <c r="BC36" s="1451"/>
      <c r="BD36" s="1451"/>
      <c r="BE36" s="1451"/>
      <c r="BF36" s="1451"/>
      <c r="BG36" s="1451"/>
      <c r="BH36" s="1451"/>
      <c r="BI36" s="1451"/>
      <c r="BJ36" s="1451"/>
      <c r="BK36" s="1451"/>
      <c r="BL36" s="1451"/>
      <c r="BM36" s="1451"/>
      <c r="BN36" s="1451"/>
      <c r="BO36" s="1451"/>
      <c r="BP36" s="1451"/>
      <c r="BQ36" s="1451"/>
      <c r="BR36" s="1451"/>
      <c r="BS36" s="1451"/>
      <c r="BT36" s="1451"/>
      <c r="BU36" s="1451"/>
      <c r="BV36" s="1451"/>
      <c r="BW36" s="1451"/>
      <c r="BX36" s="1451"/>
      <c r="BY36" s="1451"/>
      <c r="BZ36" s="1451"/>
      <c r="CA36" s="1451"/>
      <c r="CB36" s="1451"/>
      <c r="CC36" s="1451"/>
      <c r="CD36" s="1451"/>
      <c r="CE36" s="1451"/>
      <c r="CF36" s="1451"/>
      <c r="CG36" s="1451"/>
      <c r="CH36" s="1451"/>
      <c r="CI36" s="1451"/>
      <c r="CJ36" s="1451"/>
      <c r="CK36" s="1451"/>
      <c r="CL36" s="1451"/>
      <c r="CM36" s="1451"/>
      <c r="CN36" s="1451"/>
      <c r="CO36" s="1451"/>
      <c r="CP36" s="1451"/>
      <c r="CQ36" s="1451"/>
      <c r="CR36" s="1451"/>
      <c r="CS36" s="1451"/>
      <c r="CT36" s="1451"/>
      <c r="CU36" s="1451"/>
      <c r="CV36" s="1451"/>
      <c r="CW36" s="1451"/>
      <c r="CX36" s="1451"/>
      <c r="CY36" s="1451"/>
      <c r="CZ36" s="1451"/>
      <c r="DA36" s="1451"/>
      <c r="DB36" s="1451"/>
      <c r="DC36" s="1451"/>
      <c r="DD36" s="1451"/>
      <c r="DE36" s="1451"/>
      <c r="DF36" s="1451"/>
      <c r="DG36" s="1451"/>
      <c r="DH36" s="1451"/>
      <c r="DI36" s="1451"/>
      <c r="DJ36" s="1451"/>
      <c r="DK36" s="1451"/>
      <c r="DL36" s="1451"/>
      <c r="DM36" s="1451"/>
      <c r="DN36" s="1451"/>
      <c r="DO36" s="1451"/>
      <c r="DP36" s="1451"/>
      <c r="DQ36" s="1451"/>
      <c r="DR36" s="1451"/>
      <c r="DS36" s="1451"/>
      <c r="DT36" s="1451"/>
      <c r="DU36" s="1451"/>
      <c r="DV36" s="1451"/>
      <c r="DW36" s="1451"/>
      <c r="DX36" s="1451"/>
      <c r="DY36" s="1451"/>
      <c r="DZ36" s="1451"/>
      <c r="EA36" s="1451"/>
      <c r="EB36" s="1451"/>
      <c r="EC36" s="1451"/>
      <c r="ED36" s="1451"/>
      <c r="EE36" s="1451"/>
      <c r="EF36" s="1451"/>
      <c r="EG36" s="1451"/>
      <c r="EH36" s="1451"/>
      <c r="EI36" s="1451"/>
      <c r="EJ36" s="1451"/>
      <c r="EK36" s="1451"/>
      <c r="EL36" s="1451"/>
      <c r="EM36" s="1451"/>
      <c r="EN36" s="1451"/>
      <c r="EO36" s="1451"/>
      <c r="EP36" s="1451"/>
      <c r="EQ36" s="1451"/>
      <c r="ER36" s="1451"/>
      <c r="ES36" s="1451"/>
      <c r="ET36" s="1451"/>
      <c r="EU36" s="1451"/>
      <c r="EV36" s="1451"/>
      <c r="EW36" s="1451"/>
      <c r="EX36" s="1451"/>
      <c r="EY36" s="1451"/>
      <c r="EZ36" s="1451"/>
      <c r="FA36" s="1451"/>
      <c r="FB36" s="1451"/>
      <c r="FC36" s="1451"/>
      <c r="FD36" s="1451"/>
      <c r="FE36" s="1451"/>
      <c r="FF36" s="1451"/>
      <c r="FG36" s="1451"/>
      <c r="FH36" s="1451"/>
      <c r="FI36" s="1451"/>
      <c r="FJ36" s="1451"/>
      <c r="FK36" s="1451"/>
      <c r="FL36" s="1451"/>
      <c r="FM36" s="1451"/>
      <c r="FN36" s="1451"/>
      <c r="FO36" s="1451"/>
      <c r="FP36" s="1451"/>
      <c r="FQ36" s="1451"/>
      <c r="FR36" s="1451"/>
      <c r="FS36" s="1451"/>
      <c r="FT36" s="1451"/>
      <c r="FU36" s="1451"/>
      <c r="FV36" s="1451"/>
      <c r="FW36" s="1451"/>
      <c r="FX36" s="1451"/>
      <c r="FY36" s="1451"/>
      <c r="FZ36" s="1451"/>
      <c r="GA36" s="1451"/>
      <c r="GB36" s="1451"/>
      <c r="GC36" s="1451"/>
      <c r="GD36" s="1451"/>
      <c r="GE36" s="1451"/>
      <c r="GF36" s="1451"/>
      <c r="GG36" s="1451"/>
      <c r="GH36" s="1451"/>
      <c r="GI36" s="1451"/>
      <c r="GJ36" s="1451"/>
      <c r="GK36" s="1451"/>
      <c r="GL36" s="1451"/>
      <c r="GM36" s="1451"/>
      <c r="GN36" s="1451"/>
      <c r="GO36" s="1451"/>
      <c r="GP36" s="1451"/>
      <c r="GQ36" s="1451"/>
      <c r="GR36" s="1451"/>
      <c r="GS36" s="1451"/>
      <c r="GT36" s="1451"/>
      <c r="GU36" s="1451"/>
      <c r="GV36" s="1451"/>
      <c r="GW36" s="1451"/>
      <c r="GX36" s="1451"/>
      <c r="GY36" s="1451"/>
      <c r="GZ36" s="1451"/>
      <c r="HA36" s="1451"/>
      <c r="HB36" s="1451"/>
      <c r="HC36" s="1451"/>
      <c r="HD36" s="1451"/>
      <c r="HE36" s="1451"/>
      <c r="HF36" s="1451"/>
      <c r="HG36" s="1451"/>
      <c r="HH36" s="1451"/>
      <c r="HI36" s="1451"/>
      <c r="HJ36" s="1451"/>
      <c r="HK36" s="1451"/>
      <c r="HL36" s="1451"/>
      <c r="HM36" s="1451"/>
      <c r="HN36" s="1451"/>
      <c r="HO36" s="1451"/>
      <c r="HP36" s="1451"/>
      <c r="HQ36" s="1451"/>
      <c r="HR36" s="1451"/>
      <c r="HS36" s="1451"/>
      <c r="HT36" s="1451"/>
      <c r="HU36" s="1451"/>
      <c r="HV36" s="1451"/>
      <c r="HW36" s="1451"/>
      <c r="HX36" s="1451"/>
      <c r="HY36" s="1451"/>
      <c r="HZ36" s="1451"/>
      <c r="IA36" s="1451"/>
      <c r="IB36" s="1451"/>
      <c r="IC36" s="1451"/>
      <c r="ID36" s="1451"/>
      <c r="IE36" s="1451"/>
      <c r="IF36" s="1451"/>
      <c r="IG36" s="1451"/>
      <c r="IH36" s="1451"/>
      <c r="II36" s="1451"/>
      <c r="IJ36" s="1451"/>
      <c r="IK36" s="1451"/>
      <c r="IL36" s="1451"/>
      <c r="IM36" s="1451"/>
      <c r="IN36" s="1451"/>
      <c r="IO36" s="1451"/>
      <c r="IP36" s="1451"/>
      <c r="IQ36" s="1451"/>
      <c r="IR36" s="1451"/>
      <c r="IS36" s="1451"/>
      <c r="IT36" s="1451"/>
      <c r="IU36" s="1451"/>
      <c r="IV36" s="1451"/>
      <c r="IW36" s="1451"/>
      <c r="IX36" s="1451"/>
      <c r="IY36" s="1451"/>
      <c r="IZ36" s="1451"/>
      <c r="JA36" s="1451"/>
      <c r="JB36" s="1451"/>
      <c r="JC36" s="1451"/>
      <c r="JD36" s="1451"/>
      <c r="JE36" s="1451"/>
      <c r="JF36" s="1451"/>
      <c r="JG36" s="1451"/>
      <c r="JH36" s="1451"/>
      <c r="JI36" s="1451"/>
      <c r="JJ36" s="1451"/>
      <c r="JK36" s="1451"/>
      <c r="JL36" s="1451"/>
      <c r="JM36" s="1451"/>
      <c r="JN36" s="1451"/>
      <c r="JO36" s="1451"/>
      <c r="JP36" s="1451"/>
      <c r="JQ36" s="1451"/>
      <c r="JR36" s="1451"/>
      <c r="JS36" s="1451"/>
      <c r="JT36" s="1451"/>
      <c r="JU36" s="1451"/>
      <c r="JV36" s="1451"/>
      <c r="JW36" s="1451"/>
      <c r="JX36" s="1451"/>
      <c r="JY36" s="1451"/>
      <c r="JZ36" s="1451"/>
      <c r="KA36" s="1451"/>
      <c r="KB36" s="1451"/>
      <c r="KC36" s="1451"/>
      <c r="KD36" s="1451"/>
      <c r="KE36" s="1451"/>
      <c r="KF36" s="1451"/>
      <c r="KG36" s="1451"/>
      <c r="KH36" s="1451"/>
      <c r="KI36" s="1451"/>
      <c r="KJ36" s="1451"/>
      <c r="KK36" s="1451"/>
      <c r="KL36" s="1451"/>
      <c r="KM36" s="1451"/>
      <c r="KN36" s="1451"/>
      <c r="KO36" s="1451"/>
      <c r="KP36" s="1451"/>
      <c r="KQ36" s="1451"/>
      <c r="KR36" s="1451"/>
      <c r="KS36" s="1451"/>
      <c r="KT36" s="1451"/>
      <c r="KU36" s="1451"/>
      <c r="KV36" s="1451"/>
      <c r="KW36" s="1451"/>
      <c r="KX36" s="1451"/>
      <c r="KY36" s="1451"/>
      <c r="KZ36" s="1451"/>
      <c r="LA36" s="1451"/>
      <c r="LB36" s="1451"/>
      <c r="LC36" s="1451"/>
      <c r="LD36" s="1451"/>
      <c r="LE36" s="1451"/>
      <c r="LF36" s="1451"/>
      <c r="LG36" s="1451"/>
      <c r="LH36" s="1451"/>
      <c r="LI36" s="1451"/>
      <c r="LJ36" s="1451"/>
      <c r="LK36" s="1451"/>
      <c r="LL36" s="1451"/>
      <c r="LM36" s="1451"/>
      <c r="LN36" s="1451"/>
      <c r="LO36" s="1451"/>
      <c r="LP36" s="1451"/>
      <c r="LQ36" s="1451"/>
      <c r="LR36" s="1451"/>
      <c r="LS36" s="1451"/>
      <c r="LT36" s="1451"/>
      <c r="LU36" s="1451"/>
      <c r="LV36" s="1451"/>
      <c r="LW36" s="1451"/>
      <c r="LX36" s="1451"/>
      <c r="LY36" s="1451"/>
      <c r="LZ36" s="1451"/>
      <c r="MA36" s="1451"/>
      <c r="MB36" s="1451"/>
      <c r="MC36" s="1451"/>
      <c r="MD36" s="1451"/>
      <c r="ME36" s="1451"/>
      <c r="MF36" s="1451"/>
      <c r="MG36" s="1451"/>
    </row>
    <row r="37" spans="1:345" s="1229" customFormat="1" x14ac:dyDescent="0.2">
      <c r="A37" s="1451"/>
      <c r="B37" s="1828"/>
      <c r="C37" s="1841"/>
      <c r="D37" s="1841"/>
      <c r="E37" s="1829"/>
      <c r="F37" s="1841"/>
      <c r="G37" s="1830"/>
      <c r="H37" s="1830"/>
      <c r="I37" s="1830"/>
      <c r="J37" s="1842"/>
      <c r="K37" s="1843"/>
      <c r="L37" s="1233"/>
      <c r="M37" s="1388"/>
      <c r="N37" s="424"/>
      <c r="O37" s="425"/>
      <c r="P37" s="1234"/>
      <c r="Q37" s="1451"/>
      <c r="R37" s="1451"/>
      <c r="S37" s="1451"/>
      <c r="T37" s="1451"/>
      <c r="U37" s="1451"/>
      <c r="V37" s="1451"/>
      <c r="W37" s="1451"/>
      <c r="X37" s="1451"/>
      <c r="Y37" s="1451"/>
      <c r="Z37" s="1451"/>
      <c r="AA37" s="1451"/>
      <c r="AB37" s="1451"/>
      <c r="AC37" s="1451"/>
      <c r="AD37" s="1451"/>
      <c r="AE37" s="1451"/>
      <c r="AF37" s="1451"/>
      <c r="AG37" s="1451"/>
      <c r="AH37" s="1451"/>
      <c r="AI37" s="1451"/>
      <c r="AJ37" s="1451"/>
      <c r="AK37" s="1451"/>
      <c r="AL37" s="1451"/>
      <c r="AM37" s="1451"/>
      <c r="AN37" s="1451"/>
      <c r="AO37" s="1451"/>
      <c r="AP37" s="1451"/>
      <c r="AQ37" s="1451"/>
      <c r="AR37" s="1451"/>
      <c r="AS37" s="1451"/>
      <c r="AT37" s="1451"/>
      <c r="AU37" s="1451"/>
      <c r="AV37" s="1451"/>
      <c r="AW37" s="1451"/>
      <c r="AX37" s="1451"/>
      <c r="AY37" s="1451"/>
      <c r="AZ37" s="1451"/>
      <c r="BA37" s="1451"/>
      <c r="BB37" s="1451"/>
      <c r="BC37" s="1451"/>
      <c r="BD37" s="1451"/>
      <c r="BE37" s="1451"/>
      <c r="BF37" s="1451"/>
      <c r="BG37" s="1451"/>
      <c r="BH37" s="1451"/>
      <c r="BI37" s="1451"/>
      <c r="BJ37" s="1451"/>
      <c r="BK37" s="1451"/>
      <c r="BL37" s="1451"/>
      <c r="BM37" s="1451"/>
      <c r="BN37" s="1451"/>
      <c r="BO37" s="1451"/>
      <c r="BP37" s="1451"/>
      <c r="BQ37" s="1451"/>
      <c r="BR37" s="1451"/>
      <c r="BS37" s="1451"/>
      <c r="BT37" s="1451"/>
      <c r="BU37" s="1451"/>
      <c r="BV37" s="1451"/>
      <c r="BW37" s="1451"/>
      <c r="BX37" s="1451"/>
      <c r="BY37" s="1451"/>
      <c r="BZ37" s="1451"/>
      <c r="CA37" s="1451"/>
      <c r="CB37" s="1451"/>
      <c r="CC37" s="1451"/>
      <c r="CD37" s="1451"/>
      <c r="CE37" s="1451"/>
      <c r="CF37" s="1451"/>
      <c r="CG37" s="1451"/>
      <c r="CH37" s="1451"/>
      <c r="CI37" s="1451"/>
      <c r="CJ37" s="1451"/>
      <c r="CK37" s="1451"/>
      <c r="CL37" s="1451"/>
      <c r="CM37" s="1451"/>
      <c r="CN37" s="1451"/>
      <c r="CO37" s="1451"/>
      <c r="CP37" s="1451"/>
      <c r="CQ37" s="1451"/>
      <c r="CR37" s="1451"/>
      <c r="CS37" s="1451"/>
      <c r="CT37" s="1451"/>
      <c r="CU37" s="1451"/>
      <c r="CV37" s="1451"/>
      <c r="CW37" s="1451"/>
      <c r="CX37" s="1451"/>
      <c r="CY37" s="1451"/>
      <c r="CZ37" s="1451"/>
      <c r="DA37" s="1451"/>
      <c r="DB37" s="1451"/>
      <c r="DC37" s="1451"/>
      <c r="DD37" s="1451"/>
      <c r="DE37" s="1451"/>
      <c r="DF37" s="1451"/>
      <c r="DG37" s="1451"/>
      <c r="DH37" s="1451"/>
      <c r="DI37" s="1451"/>
      <c r="DJ37" s="1451"/>
      <c r="DK37" s="1451"/>
      <c r="DL37" s="1451"/>
      <c r="DM37" s="1451"/>
      <c r="DN37" s="1451"/>
      <c r="DO37" s="1451"/>
      <c r="DP37" s="1451"/>
      <c r="DQ37" s="1451"/>
      <c r="DR37" s="1451"/>
      <c r="DS37" s="1451"/>
      <c r="DT37" s="1451"/>
      <c r="DU37" s="1451"/>
      <c r="DV37" s="1451"/>
      <c r="DW37" s="1451"/>
      <c r="DX37" s="1451"/>
      <c r="DY37" s="1451"/>
      <c r="DZ37" s="1451"/>
      <c r="EA37" s="1451"/>
      <c r="EB37" s="1451"/>
      <c r="EC37" s="1451"/>
      <c r="ED37" s="1451"/>
      <c r="EE37" s="1451"/>
      <c r="EF37" s="1451"/>
      <c r="EG37" s="1451"/>
      <c r="EH37" s="1451"/>
      <c r="EI37" s="1451"/>
      <c r="EJ37" s="1451"/>
      <c r="EK37" s="1451"/>
      <c r="EL37" s="1451"/>
      <c r="EM37" s="1451"/>
      <c r="EN37" s="1451"/>
      <c r="EO37" s="1451"/>
      <c r="EP37" s="1451"/>
      <c r="EQ37" s="1451"/>
      <c r="ER37" s="1451"/>
      <c r="ES37" s="1451"/>
      <c r="ET37" s="1451"/>
      <c r="EU37" s="1451"/>
      <c r="EV37" s="1451"/>
      <c r="EW37" s="1451"/>
      <c r="EX37" s="1451"/>
      <c r="EY37" s="1451"/>
      <c r="EZ37" s="1451"/>
      <c r="FA37" s="1451"/>
      <c r="FB37" s="1451"/>
      <c r="FC37" s="1451"/>
      <c r="FD37" s="1451"/>
      <c r="FE37" s="1451"/>
      <c r="FF37" s="1451"/>
      <c r="FG37" s="1451"/>
      <c r="FH37" s="1451"/>
      <c r="FI37" s="1451"/>
      <c r="FJ37" s="1451"/>
      <c r="FK37" s="1451"/>
      <c r="FL37" s="1451"/>
      <c r="FM37" s="1451"/>
      <c r="FN37" s="1451"/>
      <c r="FO37" s="1451"/>
      <c r="FP37" s="1451"/>
      <c r="FQ37" s="1451"/>
      <c r="FR37" s="1451"/>
      <c r="FS37" s="1451"/>
      <c r="FT37" s="1451"/>
      <c r="FU37" s="1451"/>
      <c r="FV37" s="1451"/>
      <c r="FW37" s="1451"/>
      <c r="FX37" s="1451"/>
      <c r="FY37" s="1451"/>
      <c r="FZ37" s="1451"/>
      <c r="GA37" s="1451"/>
      <c r="GB37" s="1451"/>
      <c r="GC37" s="1451"/>
      <c r="GD37" s="1451"/>
      <c r="GE37" s="1451"/>
      <c r="GF37" s="1451"/>
      <c r="GG37" s="1451"/>
      <c r="GH37" s="1451"/>
      <c r="GI37" s="1451"/>
      <c r="GJ37" s="1451"/>
      <c r="GK37" s="1451"/>
      <c r="GL37" s="1451"/>
      <c r="GM37" s="1451"/>
      <c r="GN37" s="1451"/>
      <c r="GO37" s="1451"/>
      <c r="GP37" s="1451"/>
      <c r="GQ37" s="1451"/>
      <c r="GR37" s="1451"/>
      <c r="GS37" s="1451"/>
      <c r="GT37" s="1451"/>
      <c r="GU37" s="1451"/>
      <c r="GV37" s="1451"/>
      <c r="GW37" s="1451"/>
      <c r="GX37" s="1451"/>
      <c r="GY37" s="1451"/>
      <c r="GZ37" s="1451"/>
      <c r="HA37" s="1451"/>
      <c r="HB37" s="1451"/>
      <c r="HC37" s="1451"/>
      <c r="HD37" s="1451"/>
      <c r="HE37" s="1451"/>
      <c r="HF37" s="1451"/>
      <c r="HG37" s="1451"/>
      <c r="HH37" s="1451"/>
      <c r="HI37" s="1451"/>
      <c r="HJ37" s="1451"/>
      <c r="HK37" s="1451"/>
      <c r="HL37" s="1451"/>
      <c r="HM37" s="1451"/>
      <c r="HN37" s="1451"/>
      <c r="HO37" s="1451"/>
      <c r="HP37" s="1451"/>
      <c r="HQ37" s="1451"/>
      <c r="HR37" s="1451"/>
      <c r="HS37" s="1451"/>
      <c r="HT37" s="1451"/>
      <c r="HU37" s="1451"/>
      <c r="HV37" s="1451"/>
      <c r="HW37" s="1451"/>
      <c r="HX37" s="1451"/>
      <c r="HY37" s="1451"/>
      <c r="HZ37" s="1451"/>
      <c r="IA37" s="1451"/>
      <c r="IB37" s="1451"/>
      <c r="IC37" s="1451"/>
      <c r="ID37" s="1451"/>
      <c r="IE37" s="1451"/>
      <c r="IF37" s="1451"/>
      <c r="IG37" s="1451"/>
      <c r="IH37" s="1451"/>
      <c r="II37" s="1451"/>
      <c r="IJ37" s="1451"/>
      <c r="IK37" s="1451"/>
      <c r="IL37" s="1451"/>
      <c r="IM37" s="1451"/>
      <c r="IN37" s="1451"/>
      <c r="IO37" s="1451"/>
      <c r="IP37" s="1451"/>
      <c r="IQ37" s="1451"/>
      <c r="IR37" s="1451"/>
      <c r="IS37" s="1451"/>
      <c r="IT37" s="1451"/>
      <c r="IU37" s="1451"/>
      <c r="IV37" s="1451"/>
      <c r="IW37" s="1451"/>
      <c r="IX37" s="1451"/>
      <c r="IY37" s="1451"/>
      <c r="IZ37" s="1451"/>
      <c r="JA37" s="1451"/>
      <c r="JB37" s="1451"/>
      <c r="JC37" s="1451"/>
      <c r="JD37" s="1451"/>
      <c r="JE37" s="1451"/>
      <c r="JF37" s="1451"/>
      <c r="JG37" s="1451"/>
      <c r="JH37" s="1451"/>
      <c r="JI37" s="1451"/>
      <c r="JJ37" s="1451"/>
      <c r="JK37" s="1451"/>
      <c r="JL37" s="1451"/>
      <c r="JM37" s="1451"/>
      <c r="JN37" s="1451"/>
      <c r="JO37" s="1451"/>
      <c r="JP37" s="1451"/>
      <c r="JQ37" s="1451"/>
      <c r="JR37" s="1451"/>
      <c r="JS37" s="1451"/>
      <c r="JT37" s="1451"/>
      <c r="JU37" s="1451"/>
      <c r="JV37" s="1451"/>
      <c r="JW37" s="1451"/>
      <c r="JX37" s="1451"/>
      <c r="JY37" s="1451"/>
      <c r="JZ37" s="1451"/>
      <c r="KA37" s="1451"/>
      <c r="KB37" s="1451"/>
      <c r="KC37" s="1451"/>
      <c r="KD37" s="1451"/>
      <c r="KE37" s="1451"/>
      <c r="KF37" s="1451"/>
      <c r="KG37" s="1451"/>
      <c r="KH37" s="1451"/>
      <c r="KI37" s="1451"/>
      <c r="KJ37" s="1451"/>
      <c r="KK37" s="1451"/>
      <c r="KL37" s="1451"/>
      <c r="KM37" s="1451"/>
      <c r="KN37" s="1451"/>
      <c r="KO37" s="1451"/>
      <c r="KP37" s="1451"/>
      <c r="KQ37" s="1451"/>
      <c r="KR37" s="1451"/>
      <c r="KS37" s="1451"/>
      <c r="KT37" s="1451"/>
      <c r="KU37" s="1451"/>
      <c r="KV37" s="1451"/>
      <c r="KW37" s="1451"/>
      <c r="KX37" s="1451"/>
      <c r="KY37" s="1451"/>
      <c r="KZ37" s="1451"/>
      <c r="LA37" s="1451"/>
      <c r="LB37" s="1451"/>
      <c r="LC37" s="1451"/>
      <c r="LD37" s="1451"/>
      <c r="LE37" s="1451"/>
      <c r="LF37" s="1451"/>
      <c r="LG37" s="1451"/>
      <c r="LH37" s="1451"/>
      <c r="LI37" s="1451"/>
      <c r="LJ37" s="1451"/>
      <c r="LK37" s="1451"/>
      <c r="LL37" s="1451"/>
      <c r="LM37" s="1451"/>
      <c r="LN37" s="1451"/>
      <c r="LO37" s="1451"/>
      <c r="LP37" s="1451"/>
      <c r="LQ37" s="1451"/>
      <c r="LR37" s="1451"/>
      <c r="LS37" s="1451"/>
      <c r="LT37" s="1451"/>
      <c r="LU37" s="1451"/>
      <c r="LV37" s="1451"/>
      <c r="LW37" s="1451"/>
      <c r="LX37" s="1451"/>
      <c r="LY37" s="1451"/>
      <c r="LZ37" s="1451"/>
      <c r="MA37" s="1451"/>
      <c r="MB37" s="1451"/>
      <c r="MC37" s="1451"/>
      <c r="MD37" s="1451"/>
      <c r="ME37" s="1451"/>
      <c r="MF37" s="1451"/>
      <c r="MG37" s="1451"/>
    </row>
    <row r="38" spans="1:345" s="1890" customFormat="1" ht="15" customHeight="1" x14ac:dyDescent="0.2">
      <c r="B38" s="1828">
        <v>1</v>
      </c>
      <c r="C38" s="1841" t="s">
        <v>440</v>
      </c>
      <c r="D38" s="1841" t="s">
        <v>142</v>
      </c>
      <c r="E38" s="1826">
        <v>15</v>
      </c>
      <c r="F38" s="1839" t="s">
        <v>164</v>
      </c>
      <c r="G38" s="1830">
        <v>5</v>
      </c>
      <c r="H38" s="1830">
        <v>2</v>
      </c>
      <c r="I38" s="1830">
        <v>1</v>
      </c>
      <c r="J38" s="1841" t="s">
        <v>142</v>
      </c>
      <c r="K38" s="1841" t="s">
        <v>181</v>
      </c>
      <c r="L38" s="319" t="s">
        <v>1065</v>
      </c>
      <c r="M38" s="1393"/>
      <c r="N38" s="1143"/>
      <c r="O38" s="1235"/>
      <c r="P38" s="1236">
        <f>SUM(P39:P51)</f>
        <v>0</v>
      </c>
    </row>
    <row r="39" spans="1:345" s="1106" customFormat="1" x14ac:dyDescent="0.2">
      <c r="A39" s="1240"/>
      <c r="B39" s="1828"/>
      <c r="C39" s="1841"/>
      <c r="D39" s="1841"/>
      <c r="E39" s="1829"/>
      <c r="F39" s="1841"/>
      <c r="G39" s="1830"/>
      <c r="H39" s="1830"/>
      <c r="I39" s="1830"/>
      <c r="J39" s="1841"/>
      <c r="K39" s="1841"/>
      <c r="L39" s="319" t="s">
        <v>344</v>
      </c>
      <c r="M39" s="1393">
        <v>3</v>
      </c>
      <c r="N39" s="1143" t="s">
        <v>147</v>
      </c>
      <c r="O39" s="1235">
        <v>0</v>
      </c>
      <c r="P39" s="1236">
        <f>O39*M39</f>
        <v>0</v>
      </c>
      <c r="Q39" s="1240"/>
      <c r="R39" s="1240"/>
      <c r="S39" s="1240"/>
      <c r="T39" s="1240"/>
      <c r="U39" s="1240"/>
      <c r="V39" s="1240"/>
      <c r="W39" s="1240"/>
      <c r="X39" s="1240"/>
      <c r="Y39" s="1240"/>
      <c r="Z39" s="1240"/>
      <c r="AA39" s="1240"/>
      <c r="AB39" s="1240"/>
      <c r="AC39" s="1240"/>
      <c r="AD39" s="1240"/>
      <c r="AE39" s="1240"/>
      <c r="AF39" s="1240"/>
      <c r="AG39" s="1240"/>
      <c r="AH39" s="1240"/>
      <c r="AI39" s="1240"/>
      <c r="AJ39" s="1240"/>
      <c r="AK39" s="1240"/>
      <c r="AL39" s="1240"/>
      <c r="AM39" s="1240"/>
      <c r="AN39" s="1240"/>
      <c r="AO39" s="1240"/>
      <c r="AP39" s="1240"/>
      <c r="AQ39" s="1240"/>
      <c r="AR39" s="1240"/>
      <c r="AS39" s="1240"/>
      <c r="AT39" s="1240"/>
      <c r="AU39" s="1240"/>
      <c r="AV39" s="1240"/>
      <c r="AW39" s="1240"/>
      <c r="AX39" s="1240"/>
      <c r="AY39" s="1240"/>
      <c r="AZ39" s="1240"/>
      <c r="BA39" s="1240"/>
      <c r="BB39" s="1240"/>
      <c r="BC39" s="1240"/>
      <c r="BD39" s="1240"/>
      <c r="BE39" s="1240"/>
      <c r="BF39" s="1240"/>
      <c r="BG39" s="1240"/>
      <c r="BH39" s="1240"/>
      <c r="BI39" s="1240"/>
      <c r="BJ39" s="1240"/>
      <c r="BK39" s="1240"/>
      <c r="BL39" s="1240"/>
      <c r="BM39" s="1240"/>
      <c r="BN39" s="1240"/>
      <c r="BO39" s="1240"/>
      <c r="BP39" s="1240"/>
      <c r="BQ39" s="1240"/>
      <c r="BR39" s="1240"/>
      <c r="BS39" s="1240"/>
      <c r="BT39" s="1240"/>
      <c r="BU39" s="1240"/>
      <c r="BV39" s="1240"/>
      <c r="BW39" s="1240"/>
      <c r="BX39" s="1240"/>
      <c r="BY39" s="1240"/>
      <c r="BZ39" s="1240"/>
      <c r="CA39" s="1240"/>
      <c r="CB39" s="1240"/>
      <c r="CC39" s="1240"/>
      <c r="CD39" s="1240"/>
      <c r="CE39" s="1240"/>
      <c r="CF39" s="1240"/>
      <c r="CG39" s="1240"/>
      <c r="CH39" s="1240"/>
      <c r="CI39" s="1240"/>
      <c r="CJ39" s="1240"/>
      <c r="CK39" s="1240"/>
      <c r="CL39" s="1240"/>
      <c r="CM39" s="1240"/>
      <c r="CN39" s="1240"/>
      <c r="CO39" s="1240"/>
      <c r="CP39" s="1240"/>
      <c r="CQ39" s="1240"/>
      <c r="CR39" s="1240"/>
      <c r="CS39" s="1240"/>
      <c r="CT39" s="1240"/>
      <c r="CU39" s="1240"/>
      <c r="CV39" s="1240"/>
      <c r="CW39" s="1240"/>
      <c r="CX39" s="1240"/>
      <c r="CY39" s="1240"/>
      <c r="CZ39" s="1240"/>
      <c r="DA39" s="1240"/>
      <c r="DB39" s="1240"/>
      <c r="DC39" s="1240"/>
      <c r="DD39" s="1240"/>
      <c r="DE39" s="1240"/>
      <c r="DF39" s="1240"/>
      <c r="DG39" s="1240"/>
      <c r="DH39" s="1240"/>
      <c r="DI39" s="1240"/>
      <c r="DJ39" s="1240"/>
      <c r="DK39" s="1240"/>
      <c r="DL39" s="1240"/>
      <c r="DM39" s="1240"/>
      <c r="DN39" s="1240"/>
      <c r="DO39" s="1240"/>
      <c r="DP39" s="1240"/>
      <c r="DQ39" s="1240"/>
      <c r="DR39" s="1240"/>
      <c r="DS39" s="1240"/>
      <c r="DT39" s="1240"/>
      <c r="DU39" s="1240"/>
      <c r="DV39" s="1240"/>
      <c r="DW39" s="1240"/>
      <c r="DX39" s="1240"/>
      <c r="DY39" s="1240"/>
      <c r="DZ39" s="1240"/>
      <c r="EA39" s="1240"/>
      <c r="EB39" s="1240"/>
      <c r="EC39" s="1240"/>
      <c r="ED39" s="1240"/>
      <c r="EE39" s="1240"/>
      <c r="EF39" s="1240"/>
      <c r="EG39" s="1240"/>
      <c r="EH39" s="1240"/>
      <c r="EI39" s="1240"/>
      <c r="EJ39" s="1240"/>
      <c r="EK39" s="1240"/>
      <c r="EL39" s="1240"/>
      <c r="EM39" s="1240"/>
      <c r="EN39" s="1240"/>
      <c r="EO39" s="1240"/>
      <c r="EP39" s="1240"/>
      <c r="EQ39" s="1240"/>
      <c r="ER39" s="1240"/>
      <c r="ES39" s="1240"/>
      <c r="ET39" s="1240"/>
      <c r="EU39" s="1240"/>
      <c r="EV39" s="1240"/>
      <c r="EW39" s="1240"/>
      <c r="EX39" s="1240"/>
      <c r="EY39" s="1240"/>
      <c r="EZ39" s="1240"/>
      <c r="FA39" s="1240"/>
      <c r="FB39" s="1240"/>
      <c r="FC39" s="1240"/>
      <c r="FD39" s="1240"/>
      <c r="FE39" s="1240"/>
      <c r="FF39" s="1240"/>
      <c r="FG39" s="1240"/>
      <c r="FH39" s="1240"/>
      <c r="FI39" s="1240"/>
      <c r="FJ39" s="1240"/>
      <c r="FK39" s="1240"/>
      <c r="FL39" s="1240"/>
      <c r="FM39" s="1240"/>
      <c r="FN39" s="1240"/>
      <c r="FO39" s="1240"/>
      <c r="FP39" s="1240"/>
      <c r="FQ39" s="1240"/>
      <c r="FR39" s="1240"/>
      <c r="FS39" s="1240"/>
      <c r="FT39" s="1240"/>
      <c r="FU39" s="1240"/>
      <c r="FV39" s="1240"/>
      <c r="FW39" s="1240"/>
      <c r="FX39" s="1240"/>
      <c r="FY39" s="1240"/>
      <c r="FZ39" s="1240"/>
      <c r="GA39" s="1240"/>
      <c r="GB39" s="1240"/>
      <c r="GC39" s="1240"/>
      <c r="GD39" s="1240"/>
      <c r="GE39" s="1240"/>
      <c r="GF39" s="1240"/>
      <c r="GG39" s="1240"/>
      <c r="GH39" s="1240"/>
      <c r="GI39" s="1240"/>
      <c r="GJ39" s="1240"/>
      <c r="GK39" s="1240"/>
      <c r="GL39" s="1240"/>
      <c r="GM39" s="1240"/>
      <c r="GN39" s="1240"/>
      <c r="GO39" s="1240"/>
      <c r="GP39" s="1240"/>
      <c r="GQ39" s="1240"/>
      <c r="GR39" s="1240"/>
      <c r="GS39" s="1240"/>
      <c r="GT39" s="1240"/>
      <c r="GU39" s="1240"/>
      <c r="GV39" s="1240"/>
      <c r="GW39" s="1240"/>
      <c r="GX39" s="1240"/>
      <c r="GY39" s="1240"/>
      <c r="GZ39" s="1240"/>
      <c r="HA39" s="1240"/>
      <c r="HB39" s="1240"/>
      <c r="HC39" s="1240"/>
      <c r="HD39" s="1240"/>
      <c r="HE39" s="1240"/>
      <c r="HF39" s="1240"/>
      <c r="HG39" s="1240"/>
      <c r="HH39" s="1240"/>
      <c r="HI39" s="1240"/>
      <c r="HJ39" s="1240"/>
      <c r="HK39" s="1240"/>
      <c r="HL39" s="1240"/>
      <c r="HM39" s="1240"/>
      <c r="HN39" s="1240"/>
      <c r="HO39" s="1240"/>
      <c r="HP39" s="1240"/>
      <c r="HQ39" s="1240"/>
      <c r="HR39" s="1240"/>
      <c r="HS39" s="1240"/>
      <c r="HT39" s="1240"/>
      <c r="HU39" s="1240"/>
      <c r="HV39" s="1240"/>
      <c r="HW39" s="1240"/>
      <c r="HX39" s="1240"/>
      <c r="HY39" s="1240"/>
      <c r="HZ39" s="1240"/>
      <c r="IA39" s="1240"/>
      <c r="IB39" s="1240"/>
      <c r="IC39" s="1240"/>
      <c r="ID39" s="1240"/>
      <c r="IE39" s="1240"/>
      <c r="IF39" s="1240"/>
      <c r="IG39" s="1240"/>
      <c r="IH39" s="1240"/>
      <c r="II39" s="1240"/>
      <c r="IJ39" s="1240"/>
      <c r="IK39" s="1240"/>
      <c r="IL39" s="1240"/>
      <c r="IM39" s="1240"/>
      <c r="IN39" s="1240"/>
      <c r="IO39" s="1240"/>
      <c r="IP39" s="1240"/>
      <c r="IQ39" s="1240"/>
      <c r="IR39" s="1240"/>
      <c r="IS39" s="1240"/>
      <c r="IT39" s="1240"/>
      <c r="IU39" s="1240"/>
      <c r="IV39" s="1240"/>
      <c r="IW39" s="1240"/>
      <c r="IX39" s="1240"/>
      <c r="IY39" s="1240"/>
      <c r="IZ39" s="1240"/>
      <c r="JA39" s="1240"/>
      <c r="JB39" s="1240"/>
      <c r="JC39" s="1240"/>
      <c r="JD39" s="1240"/>
      <c r="JE39" s="1240"/>
      <c r="JF39" s="1240"/>
      <c r="JG39" s="1240"/>
      <c r="JH39" s="1240"/>
      <c r="JI39" s="1240"/>
      <c r="JJ39" s="1240"/>
      <c r="JK39" s="1240"/>
      <c r="JL39" s="1240"/>
      <c r="JM39" s="1240"/>
      <c r="JN39" s="1240"/>
      <c r="JO39" s="1240"/>
      <c r="JP39" s="1240"/>
      <c r="JQ39" s="1240"/>
      <c r="JR39" s="1240"/>
      <c r="JS39" s="1240"/>
      <c r="JT39" s="1240"/>
      <c r="JU39" s="1240"/>
      <c r="JV39" s="1240"/>
      <c r="JW39" s="1240"/>
      <c r="JX39" s="1240"/>
      <c r="JY39" s="1240"/>
      <c r="JZ39" s="1240"/>
      <c r="KA39" s="1240"/>
      <c r="KB39" s="1240"/>
      <c r="KC39" s="1240"/>
      <c r="KD39" s="1240"/>
      <c r="KE39" s="1240"/>
      <c r="KF39" s="1240"/>
      <c r="KG39" s="1240"/>
      <c r="KH39" s="1240"/>
      <c r="KI39" s="1240"/>
      <c r="KJ39" s="1240"/>
      <c r="KK39" s="1240"/>
      <c r="KL39" s="1240"/>
      <c r="KM39" s="1240"/>
      <c r="KN39" s="1240"/>
      <c r="KO39" s="1240"/>
      <c r="KP39" s="1240"/>
      <c r="KQ39" s="1240"/>
      <c r="KR39" s="1240"/>
      <c r="KS39" s="1240"/>
      <c r="KT39" s="1240"/>
      <c r="KU39" s="1240"/>
      <c r="KV39" s="1240"/>
      <c r="KW39" s="1240"/>
      <c r="KX39" s="1240"/>
      <c r="KY39" s="1240"/>
      <c r="KZ39" s="1240"/>
      <c r="LA39" s="1240"/>
      <c r="LB39" s="1240"/>
      <c r="LC39" s="1240"/>
      <c r="LD39" s="1240"/>
      <c r="LE39" s="1240"/>
      <c r="LF39" s="1240"/>
      <c r="LG39" s="1240"/>
      <c r="LH39" s="1240"/>
      <c r="LI39" s="1240"/>
      <c r="LJ39" s="1240"/>
      <c r="LK39" s="1240"/>
      <c r="LL39" s="1240"/>
      <c r="LM39" s="1240"/>
      <c r="LN39" s="1240"/>
      <c r="LO39" s="1240"/>
      <c r="LP39" s="1240"/>
      <c r="LQ39" s="1240"/>
      <c r="LR39" s="1240"/>
      <c r="LS39" s="1240"/>
      <c r="LT39" s="1240"/>
      <c r="LU39" s="1240"/>
      <c r="LV39" s="1240"/>
      <c r="LW39" s="1240"/>
      <c r="LX39" s="1240"/>
      <c r="LY39" s="1240"/>
      <c r="LZ39" s="1240"/>
      <c r="MA39" s="1240"/>
      <c r="MB39" s="1240"/>
      <c r="MC39" s="1240"/>
      <c r="MD39" s="1240"/>
      <c r="ME39" s="1240"/>
      <c r="MF39" s="1240"/>
      <c r="MG39" s="1240"/>
    </row>
    <row r="40" spans="1:345" s="1106" customFormat="1" x14ac:dyDescent="0.2">
      <c r="A40" s="1240"/>
      <c r="B40" s="1828"/>
      <c r="C40" s="1841"/>
      <c r="D40" s="1841"/>
      <c r="E40" s="1829"/>
      <c r="F40" s="1829"/>
      <c r="G40" s="1830"/>
      <c r="H40" s="1830"/>
      <c r="I40" s="1830"/>
      <c r="J40" s="1842"/>
      <c r="K40" s="1842"/>
      <c r="L40" s="427" t="s">
        <v>354</v>
      </c>
      <c r="M40" s="1393">
        <v>3</v>
      </c>
      <c r="N40" s="1143" t="s">
        <v>147</v>
      </c>
      <c r="O40" s="1235">
        <v>0</v>
      </c>
      <c r="P40" s="1236">
        <f>O40*M40</f>
        <v>0</v>
      </c>
      <c r="Q40" s="1240"/>
      <c r="R40" s="1240"/>
      <c r="S40" s="1240"/>
      <c r="T40" s="1240"/>
      <c r="U40" s="1240"/>
      <c r="V40" s="1240"/>
      <c r="W40" s="1240"/>
      <c r="X40" s="1240"/>
      <c r="Y40" s="1240"/>
      <c r="Z40" s="1240"/>
      <c r="AA40" s="1240"/>
      <c r="AB40" s="1240"/>
      <c r="AC40" s="1240"/>
      <c r="AD40" s="1240"/>
      <c r="AE40" s="1240"/>
      <c r="AF40" s="1240"/>
      <c r="AG40" s="1240"/>
      <c r="AH40" s="1240"/>
      <c r="AI40" s="1240"/>
      <c r="AJ40" s="1240"/>
      <c r="AK40" s="1240"/>
      <c r="AL40" s="1240"/>
      <c r="AM40" s="1240"/>
      <c r="AN40" s="1240"/>
      <c r="AO40" s="1240"/>
      <c r="AP40" s="1240"/>
      <c r="AQ40" s="1240"/>
      <c r="AR40" s="1240"/>
      <c r="AS40" s="1240"/>
      <c r="AT40" s="1240"/>
      <c r="AU40" s="1240"/>
      <c r="AV40" s="1240"/>
      <c r="AW40" s="1240"/>
      <c r="AX40" s="1240"/>
      <c r="AY40" s="1240"/>
      <c r="AZ40" s="1240"/>
      <c r="BA40" s="1240"/>
      <c r="BB40" s="1240"/>
      <c r="BC40" s="1240"/>
      <c r="BD40" s="1240"/>
      <c r="BE40" s="1240"/>
      <c r="BF40" s="1240"/>
      <c r="BG40" s="1240"/>
      <c r="BH40" s="1240"/>
      <c r="BI40" s="1240"/>
      <c r="BJ40" s="1240"/>
      <c r="BK40" s="1240"/>
      <c r="BL40" s="1240"/>
      <c r="BM40" s="1240"/>
      <c r="BN40" s="1240"/>
      <c r="BO40" s="1240"/>
      <c r="BP40" s="1240"/>
      <c r="BQ40" s="1240"/>
      <c r="BR40" s="1240"/>
      <c r="BS40" s="1240"/>
      <c r="BT40" s="1240"/>
      <c r="BU40" s="1240"/>
      <c r="BV40" s="1240"/>
      <c r="BW40" s="1240"/>
      <c r="BX40" s="1240"/>
      <c r="BY40" s="1240"/>
      <c r="BZ40" s="1240"/>
      <c r="CA40" s="1240"/>
      <c r="CB40" s="1240"/>
      <c r="CC40" s="1240"/>
      <c r="CD40" s="1240"/>
      <c r="CE40" s="1240"/>
      <c r="CF40" s="1240"/>
      <c r="CG40" s="1240"/>
      <c r="CH40" s="1240"/>
      <c r="CI40" s="1240"/>
      <c r="CJ40" s="1240"/>
      <c r="CK40" s="1240"/>
      <c r="CL40" s="1240"/>
      <c r="CM40" s="1240"/>
      <c r="CN40" s="1240"/>
      <c r="CO40" s="1240"/>
      <c r="CP40" s="1240"/>
      <c r="CQ40" s="1240"/>
      <c r="CR40" s="1240"/>
      <c r="CS40" s="1240"/>
      <c r="CT40" s="1240"/>
      <c r="CU40" s="1240"/>
      <c r="CV40" s="1240"/>
      <c r="CW40" s="1240"/>
      <c r="CX40" s="1240"/>
      <c r="CY40" s="1240"/>
      <c r="CZ40" s="1240"/>
      <c r="DA40" s="1240"/>
      <c r="DB40" s="1240"/>
      <c r="DC40" s="1240"/>
      <c r="DD40" s="1240"/>
      <c r="DE40" s="1240"/>
      <c r="DF40" s="1240"/>
      <c r="DG40" s="1240"/>
      <c r="DH40" s="1240"/>
      <c r="DI40" s="1240"/>
      <c r="DJ40" s="1240"/>
      <c r="DK40" s="1240"/>
      <c r="DL40" s="1240"/>
      <c r="DM40" s="1240"/>
      <c r="DN40" s="1240"/>
      <c r="DO40" s="1240"/>
      <c r="DP40" s="1240"/>
      <c r="DQ40" s="1240"/>
      <c r="DR40" s="1240"/>
      <c r="DS40" s="1240"/>
      <c r="DT40" s="1240"/>
      <c r="DU40" s="1240"/>
      <c r="DV40" s="1240"/>
      <c r="DW40" s="1240"/>
      <c r="DX40" s="1240"/>
      <c r="DY40" s="1240"/>
      <c r="DZ40" s="1240"/>
      <c r="EA40" s="1240"/>
      <c r="EB40" s="1240"/>
      <c r="EC40" s="1240"/>
      <c r="ED40" s="1240"/>
      <c r="EE40" s="1240"/>
      <c r="EF40" s="1240"/>
      <c r="EG40" s="1240"/>
      <c r="EH40" s="1240"/>
      <c r="EI40" s="1240"/>
      <c r="EJ40" s="1240"/>
      <c r="EK40" s="1240"/>
      <c r="EL40" s="1240"/>
      <c r="EM40" s="1240"/>
      <c r="EN40" s="1240"/>
      <c r="EO40" s="1240"/>
      <c r="EP40" s="1240"/>
      <c r="EQ40" s="1240"/>
      <c r="ER40" s="1240"/>
      <c r="ES40" s="1240"/>
      <c r="ET40" s="1240"/>
      <c r="EU40" s="1240"/>
      <c r="EV40" s="1240"/>
      <c r="EW40" s="1240"/>
      <c r="EX40" s="1240"/>
      <c r="EY40" s="1240"/>
      <c r="EZ40" s="1240"/>
      <c r="FA40" s="1240"/>
      <c r="FB40" s="1240"/>
      <c r="FC40" s="1240"/>
      <c r="FD40" s="1240"/>
      <c r="FE40" s="1240"/>
      <c r="FF40" s="1240"/>
      <c r="FG40" s="1240"/>
      <c r="FH40" s="1240"/>
      <c r="FI40" s="1240"/>
      <c r="FJ40" s="1240"/>
      <c r="FK40" s="1240"/>
      <c r="FL40" s="1240"/>
      <c r="FM40" s="1240"/>
      <c r="FN40" s="1240"/>
      <c r="FO40" s="1240"/>
      <c r="FP40" s="1240"/>
      <c r="FQ40" s="1240"/>
      <c r="FR40" s="1240"/>
      <c r="FS40" s="1240"/>
      <c r="FT40" s="1240"/>
      <c r="FU40" s="1240"/>
      <c r="FV40" s="1240"/>
      <c r="FW40" s="1240"/>
      <c r="FX40" s="1240"/>
      <c r="FY40" s="1240"/>
      <c r="FZ40" s="1240"/>
      <c r="GA40" s="1240"/>
      <c r="GB40" s="1240"/>
      <c r="GC40" s="1240"/>
      <c r="GD40" s="1240"/>
      <c r="GE40" s="1240"/>
      <c r="GF40" s="1240"/>
      <c r="GG40" s="1240"/>
      <c r="GH40" s="1240"/>
      <c r="GI40" s="1240"/>
      <c r="GJ40" s="1240"/>
      <c r="GK40" s="1240"/>
      <c r="GL40" s="1240"/>
      <c r="GM40" s="1240"/>
      <c r="GN40" s="1240"/>
      <c r="GO40" s="1240"/>
      <c r="GP40" s="1240"/>
      <c r="GQ40" s="1240"/>
      <c r="GR40" s="1240"/>
      <c r="GS40" s="1240"/>
      <c r="GT40" s="1240"/>
      <c r="GU40" s="1240"/>
      <c r="GV40" s="1240"/>
      <c r="GW40" s="1240"/>
      <c r="GX40" s="1240"/>
      <c r="GY40" s="1240"/>
      <c r="GZ40" s="1240"/>
      <c r="HA40" s="1240"/>
      <c r="HB40" s="1240"/>
      <c r="HC40" s="1240"/>
      <c r="HD40" s="1240"/>
      <c r="HE40" s="1240"/>
      <c r="HF40" s="1240"/>
      <c r="HG40" s="1240"/>
      <c r="HH40" s="1240"/>
      <c r="HI40" s="1240"/>
      <c r="HJ40" s="1240"/>
      <c r="HK40" s="1240"/>
      <c r="HL40" s="1240"/>
      <c r="HM40" s="1240"/>
      <c r="HN40" s="1240"/>
      <c r="HO40" s="1240"/>
      <c r="HP40" s="1240"/>
      <c r="HQ40" s="1240"/>
      <c r="HR40" s="1240"/>
      <c r="HS40" s="1240"/>
      <c r="HT40" s="1240"/>
      <c r="HU40" s="1240"/>
      <c r="HV40" s="1240"/>
      <c r="HW40" s="1240"/>
      <c r="HX40" s="1240"/>
      <c r="HY40" s="1240"/>
      <c r="HZ40" s="1240"/>
      <c r="IA40" s="1240"/>
      <c r="IB40" s="1240"/>
      <c r="IC40" s="1240"/>
      <c r="ID40" s="1240"/>
      <c r="IE40" s="1240"/>
      <c r="IF40" s="1240"/>
      <c r="IG40" s="1240"/>
      <c r="IH40" s="1240"/>
      <c r="II40" s="1240"/>
      <c r="IJ40" s="1240"/>
      <c r="IK40" s="1240"/>
      <c r="IL40" s="1240"/>
      <c r="IM40" s="1240"/>
      <c r="IN40" s="1240"/>
      <c r="IO40" s="1240"/>
      <c r="IP40" s="1240"/>
      <c r="IQ40" s="1240"/>
      <c r="IR40" s="1240"/>
      <c r="IS40" s="1240"/>
      <c r="IT40" s="1240"/>
      <c r="IU40" s="1240"/>
      <c r="IV40" s="1240"/>
      <c r="IW40" s="1240"/>
      <c r="IX40" s="1240"/>
      <c r="IY40" s="1240"/>
      <c r="IZ40" s="1240"/>
      <c r="JA40" s="1240"/>
      <c r="JB40" s="1240"/>
      <c r="JC40" s="1240"/>
      <c r="JD40" s="1240"/>
      <c r="JE40" s="1240"/>
      <c r="JF40" s="1240"/>
      <c r="JG40" s="1240"/>
      <c r="JH40" s="1240"/>
      <c r="JI40" s="1240"/>
      <c r="JJ40" s="1240"/>
      <c r="JK40" s="1240"/>
      <c r="JL40" s="1240"/>
      <c r="JM40" s="1240"/>
      <c r="JN40" s="1240"/>
      <c r="JO40" s="1240"/>
      <c r="JP40" s="1240"/>
      <c r="JQ40" s="1240"/>
      <c r="JR40" s="1240"/>
      <c r="JS40" s="1240"/>
      <c r="JT40" s="1240"/>
      <c r="JU40" s="1240"/>
      <c r="JV40" s="1240"/>
      <c r="JW40" s="1240"/>
      <c r="JX40" s="1240"/>
      <c r="JY40" s="1240"/>
      <c r="JZ40" s="1240"/>
      <c r="KA40" s="1240"/>
      <c r="KB40" s="1240"/>
      <c r="KC40" s="1240"/>
      <c r="KD40" s="1240"/>
      <c r="KE40" s="1240"/>
      <c r="KF40" s="1240"/>
      <c r="KG40" s="1240"/>
      <c r="KH40" s="1240"/>
      <c r="KI40" s="1240"/>
      <c r="KJ40" s="1240"/>
      <c r="KK40" s="1240"/>
      <c r="KL40" s="1240"/>
      <c r="KM40" s="1240"/>
      <c r="KN40" s="1240"/>
      <c r="KO40" s="1240"/>
      <c r="KP40" s="1240"/>
      <c r="KQ40" s="1240"/>
      <c r="KR40" s="1240"/>
      <c r="KS40" s="1240"/>
      <c r="KT40" s="1240"/>
      <c r="KU40" s="1240"/>
      <c r="KV40" s="1240"/>
      <c r="KW40" s="1240"/>
      <c r="KX40" s="1240"/>
      <c r="KY40" s="1240"/>
      <c r="KZ40" s="1240"/>
      <c r="LA40" s="1240"/>
      <c r="LB40" s="1240"/>
      <c r="LC40" s="1240"/>
      <c r="LD40" s="1240"/>
      <c r="LE40" s="1240"/>
      <c r="LF40" s="1240"/>
      <c r="LG40" s="1240"/>
      <c r="LH40" s="1240"/>
      <c r="LI40" s="1240"/>
      <c r="LJ40" s="1240"/>
      <c r="LK40" s="1240"/>
      <c r="LL40" s="1240"/>
      <c r="LM40" s="1240"/>
      <c r="LN40" s="1240"/>
      <c r="LO40" s="1240"/>
      <c r="LP40" s="1240"/>
      <c r="LQ40" s="1240"/>
      <c r="LR40" s="1240"/>
      <c r="LS40" s="1240"/>
      <c r="LT40" s="1240"/>
      <c r="LU40" s="1240"/>
      <c r="LV40" s="1240"/>
      <c r="LW40" s="1240"/>
      <c r="LX40" s="1240"/>
      <c r="LY40" s="1240"/>
      <c r="LZ40" s="1240"/>
      <c r="MA40" s="1240"/>
      <c r="MB40" s="1240"/>
      <c r="MC40" s="1240"/>
      <c r="MD40" s="1240"/>
      <c r="ME40" s="1240"/>
      <c r="MF40" s="1240"/>
      <c r="MG40" s="1240"/>
    </row>
    <row r="41" spans="1:345" s="1106" customFormat="1" x14ac:dyDescent="0.2">
      <c r="A41" s="1240"/>
      <c r="B41" s="1828"/>
      <c r="C41" s="1841"/>
      <c r="D41" s="1841"/>
      <c r="E41" s="1829"/>
      <c r="F41" s="1829"/>
      <c r="G41" s="1830"/>
      <c r="H41" s="1830"/>
      <c r="I41" s="1830"/>
      <c r="J41" s="1842"/>
      <c r="K41" s="1842"/>
      <c r="L41" s="427" t="s">
        <v>355</v>
      </c>
      <c r="M41" s="1394">
        <v>15</v>
      </c>
      <c r="N41" s="1143" t="s">
        <v>147</v>
      </c>
      <c r="O41" s="1235">
        <v>0</v>
      </c>
      <c r="P41" s="1236">
        <f>O41*M41</f>
        <v>0</v>
      </c>
      <c r="Q41" s="1240"/>
      <c r="R41" s="1240"/>
      <c r="S41" s="1240"/>
      <c r="T41" s="1240"/>
      <c r="U41" s="1240"/>
      <c r="V41" s="1240"/>
      <c r="W41" s="1240"/>
      <c r="X41" s="1240"/>
      <c r="Y41" s="1240"/>
      <c r="Z41" s="1240"/>
      <c r="AA41" s="1240"/>
      <c r="AB41" s="1240"/>
      <c r="AC41" s="1240"/>
      <c r="AD41" s="1240"/>
      <c r="AE41" s="1240"/>
      <c r="AF41" s="1240"/>
      <c r="AG41" s="1240"/>
      <c r="AH41" s="1240"/>
      <c r="AI41" s="1240"/>
      <c r="AJ41" s="1240"/>
      <c r="AK41" s="1240"/>
      <c r="AL41" s="1240"/>
      <c r="AM41" s="1240"/>
      <c r="AN41" s="1240"/>
      <c r="AO41" s="1240"/>
      <c r="AP41" s="1240"/>
      <c r="AQ41" s="1240"/>
      <c r="AR41" s="1240"/>
      <c r="AS41" s="1240"/>
      <c r="AT41" s="1240"/>
      <c r="AU41" s="1240"/>
      <c r="AV41" s="1240"/>
      <c r="AW41" s="1240"/>
      <c r="AX41" s="1240"/>
      <c r="AY41" s="1240"/>
      <c r="AZ41" s="1240"/>
      <c r="BA41" s="1240"/>
      <c r="BB41" s="1240"/>
      <c r="BC41" s="1240"/>
      <c r="BD41" s="1240"/>
      <c r="BE41" s="1240"/>
      <c r="BF41" s="1240"/>
      <c r="BG41" s="1240"/>
      <c r="BH41" s="1240"/>
      <c r="BI41" s="1240"/>
      <c r="BJ41" s="1240"/>
      <c r="BK41" s="1240"/>
      <c r="BL41" s="1240"/>
      <c r="BM41" s="1240"/>
      <c r="BN41" s="1240"/>
      <c r="BO41" s="1240"/>
      <c r="BP41" s="1240"/>
      <c r="BQ41" s="1240"/>
      <c r="BR41" s="1240"/>
      <c r="BS41" s="1240"/>
      <c r="BT41" s="1240"/>
      <c r="BU41" s="1240"/>
      <c r="BV41" s="1240"/>
      <c r="BW41" s="1240"/>
      <c r="BX41" s="1240"/>
      <c r="BY41" s="1240"/>
      <c r="BZ41" s="1240"/>
      <c r="CA41" s="1240"/>
      <c r="CB41" s="1240"/>
      <c r="CC41" s="1240"/>
      <c r="CD41" s="1240"/>
      <c r="CE41" s="1240"/>
      <c r="CF41" s="1240"/>
      <c r="CG41" s="1240"/>
      <c r="CH41" s="1240"/>
      <c r="CI41" s="1240"/>
      <c r="CJ41" s="1240"/>
      <c r="CK41" s="1240"/>
      <c r="CL41" s="1240"/>
      <c r="CM41" s="1240"/>
      <c r="CN41" s="1240"/>
      <c r="CO41" s="1240"/>
      <c r="CP41" s="1240"/>
      <c r="CQ41" s="1240"/>
      <c r="CR41" s="1240"/>
      <c r="CS41" s="1240"/>
      <c r="CT41" s="1240"/>
      <c r="CU41" s="1240"/>
      <c r="CV41" s="1240"/>
      <c r="CW41" s="1240"/>
      <c r="CX41" s="1240"/>
      <c r="CY41" s="1240"/>
      <c r="CZ41" s="1240"/>
      <c r="DA41" s="1240"/>
      <c r="DB41" s="1240"/>
      <c r="DC41" s="1240"/>
      <c r="DD41" s="1240"/>
      <c r="DE41" s="1240"/>
      <c r="DF41" s="1240"/>
      <c r="DG41" s="1240"/>
      <c r="DH41" s="1240"/>
      <c r="DI41" s="1240"/>
      <c r="DJ41" s="1240"/>
      <c r="DK41" s="1240"/>
      <c r="DL41" s="1240"/>
      <c r="DM41" s="1240"/>
      <c r="DN41" s="1240"/>
      <c r="DO41" s="1240"/>
      <c r="DP41" s="1240"/>
      <c r="DQ41" s="1240"/>
      <c r="DR41" s="1240"/>
      <c r="DS41" s="1240"/>
      <c r="DT41" s="1240"/>
      <c r="DU41" s="1240"/>
      <c r="DV41" s="1240"/>
      <c r="DW41" s="1240"/>
      <c r="DX41" s="1240"/>
      <c r="DY41" s="1240"/>
      <c r="DZ41" s="1240"/>
      <c r="EA41" s="1240"/>
      <c r="EB41" s="1240"/>
      <c r="EC41" s="1240"/>
      <c r="ED41" s="1240"/>
      <c r="EE41" s="1240"/>
      <c r="EF41" s="1240"/>
      <c r="EG41" s="1240"/>
      <c r="EH41" s="1240"/>
      <c r="EI41" s="1240"/>
      <c r="EJ41" s="1240"/>
      <c r="EK41" s="1240"/>
      <c r="EL41" s="1240"/>
      <c r="EM41" s="1240"/>
      <c r="EN41" s="1240"/>
      <c r="EO41" s="1240"/>
      <c r="EP41" s="1240"/>
      <c r="EQ41" s="1240"/>
      <c r="ER41" s="1240"/>
      <c r="ES41" s="1240"/>
      <c r="ET41" s="1240"/>
      <c r="EU41" s="1240"/>
      <c r="EV41" s="1240"/>
      <c r="EW41" s="1240"/>
      <c r="EX41" s="1240"/>
      <c r="EY41" s="1240"/>
      <c r="EZ41" s="1240"/>
      <c r="FA41" s="1240"/>
      <c r="FB41" s="1240"/>
      <c r="FC41" s="1240"/>
      <c r="FD41" s="1240"/>
      <c r="FE41" s="1240"/>
      <c r="FF41" s="1240"/>
      <c r="FG41" s="1240"/>
      <c r="FH41" s="1240"/>
      <c r="FI41" s="1240"/>
      <c r="FJ41" s="1240"/>
      <c r="FK41" s="1240"/>
      <c r="FL41" s="1240"/>
      <c r="FM41" s="1240"/>
      <c r="FN41" s="1240"/>
      <c r="FO41" s="1240"/>
      <c r="FP41" s="1240"/>
      <c r="FQ41" s="1240"/>
      <c r="FR41" s="1240"/>
      <c r="FS41" s="1240"/>
      <c r="FT41" s="1240"/>
      <c r="FU41" s="1240"/>
      <c r="FV41" s="1240"/>
      <c r="FW41" s="1240"/>
      <c r="FX41" s="1240"/>
      <c r="FY41" s="1240"/>
      <c r="FZ41" s="1240"/>
      <c r="GA41" s="1240"/>
      <c r="GB41" s="1240"/>
      <c r="GC41" s="1240"/>
      <c r="GD41" s="1240"/>
      <c r="GE41" s="1240"/>
      <c r="GF41" s="1240"/>
      <c r="GG41" s="1240"/>
      <c r="GH41" s="1240"/>
      <c r="GI41" s="1240"/>
      <c r="GJ41" s="1240"/>
      <c r="GK41" s="1240"/>
      <c r="GL41" s="1240"/>
      <c r="GM41" s="1240"/>
      <c r="GN41" s="1240"/>
      <c r="GO41" s="1240"/>
      <c r="GP41" s="1240"/>
      <c r="GQ41" s="1240"/>
      <c r="GR41" s="1240"/>
      <c r="GS41" s="1240"/>
      <c r="GT41" s="1240"/>
      <c r="GU41" s="1240"/>
      <c r="GV41" s="1240"/>
      <c r="GW41" s="1240"/>
      <c r="GX41" s="1240"/>
      <c r="GY41" s="1240"/>
      <c r="GZ41" s="1240"/>
      <c r="HA41" s="1240"/>
      <c r="HB41" s="1240"/>
      <c r="HC41" s="1240"/>
      <c r="HD41" s="1240"/>
      <c r="HE41" s="1240"/>
      <c r="HF41" s="1240"/>
      <c r="HG41" s="1240"/>
      <c r="HH41" s="1240"/>
      <c r="HI41" s="1240"/>
      <c r="HJ41" s="1240"/>
      <c r="HK41" s="1240"/>
      <c r="HL41" s="1240"/>
      <c r="HM41" s="1240"/>
      <c r="HN41" s="1240"/>
      <c r="HO41" s="1240"/>
      <c r="HP41" s="1240"/>
      <c r="HQ41" s="1240"/>
      <c r="HR41" s="1240"/>
      <c r="HS41" s="1240"/>
      <c r="HT41" s="1240"/>
      <c r="HU41" s="1240"/>
      <c r="HV41" s="1240"/>
      <c r="HW41" s="1240"/>
      <c r="HX41" s="1240"/>
      <c r="HY41" s="1240"/>
      <c r="HZ41" s="1240"/>
      <c r="IA41" s="1240"/>
      <c r="IB41" s="1240"/>
      <c r="IC41" s="1240"/>
      <c r="ID41" s="1240"/>
      <c r="IE41" s="1240"/>
      <c r="IF41" s="1240"/>
      <c r="IG41" s="1240"/>
      <c r="IH41" s="1240"/>
      <c r="II41" s="1240"/>
      <c r="IJ41" s="1240"/>
      <c r="IK41" s="1240"/>
      <c r="IL41" s="1240"/>
      <c r="IM41" s="1240"/>
      <c r="IN41" s="1240"/>
      <c r="IO41" s="1240"/>
      <c r="IP41" s="1240"/>
      <c r="IQ41" s="1240"/>
      <c r="IR41" s="1240"/>
      <c r="IS41" s="1240"/>
      <c r="IT41" s="1240"/>
      <c r="IU41" s="1240"/>
      <c r="IV41" s="1240"/>
      <c r="IW41" s="1240"/>
      <c r="IX41" s="1240"/>
      <c r="IY41" s="1240"/>
      <c r="IZ41" s="1240"/>
      <c r="JA41" s="1240"/>
      <c r="JB41" s="1240"/>
      <c r="JC41" s="1240"/>
      <c r="JD41" s="1240"/>
      <c r="JE41" s="1240"/>
      <c r="JF41" s="1240"/>
      <c r="JG41" s="1240"/>
      <c r="JH41" s="1240"/>
      <c r="JI41" s="1240"/>
      <c r="JJ41" s="1240"/>
      <c r="JK41" s="1240"/>
      <c r="JL41" s="1240"/>
      <c r="JM41" s="1240"/>
      <c r="JN41" s="1240"/>
      <c r="JO41" s="1240"/>
      <c r="JP41" s="1240"/>
      <c r="JQ41" s="1240"/>
      <c r="JR41" s="1240"/>
      <c r="JS41" s="1240"/>
      <c r="JT41" s="1240"/>
      <c r="JU41" s="1240"/>
      <c r="JV41" s="1240"/>
      <c r="JW41" s="1240"/>
      <c r="JX41" s="1240"/>
      <c r="JY41" s="1240"/>
      <c r="JZ41" s="1240"/>
      <c r="KA41" s="1240"/>
      <c r="KB41" s="1240"/>
      <c r="KC41" s="1240"/>
      <c r="KD41" s="1240"/>
      <c r="KE41" s="1240"/>
      <c r="KF41" s="1240"/>
      <c r="KG41" s="1240"/>
      <c r="KH41" s="1240"/>
      <c r="KI41" s="1240"/>
      <c r="KJ41" s="1240"/>
      <c r="KK41" s="1240"/>
      <c r="KL41" s="1240"/>
      <c r="KM41" s="1240"/>
      <c r="KN41" s="1240"/>
      <c r="KO41" s="1240"/>
      <c r="KP41" s="1240"/>
      <c r="KQ41" s="1240"/>
      <c r="KR41" s="1240"/>
      <c r="KS41" s="1240"/>
      <c r="KT41" s="1240"/>
      <c r="KU41" s="1240"/>
      <c r="KV41" s="1240"/>
      <c r="KW41" s="1240"/>
      <c r="KX41" s="1240"/>
      <c r="KY41" s="1240"/>
      <c r="KZ41" s="1240"/>
      <c r="LA41" s="1240"/>
      <c r="LB41" s="1240"/>
      <c r="LC41" s="1240"/>
      <c r="LD41" s="1240"/>
      <c r="LE41" s="1240"/>
      <c r="LF41" s="1240"/>
      <c r="LG41" s="1240"/>
      <c r="LH41" s="1240"/>
      <c r="LI41" s="1240"/>
      <c r="LJ41" s="1240"/>
      <c r="LK41" s="1240"/>
      <c r="LL41" s="1240"/>
      <c r="LM41" s="1240"/>
      <c r="LN41" s="1240"/>
      <c r="LO41" s="1240"/>
      <c r="LP41" s="1240"/>
      <c r="LQ41" s="1240"/>
      <c r="LR41" s="1240"/>
      <c r="LS41" s="1240"/>
      <c r="LT41" s="1240"/>
      <c r="LU41" s="1240"/>
      <c r="LV41" s="1240"/>
      <c r="LW41" s="1240"/>
      <c r="LX41" s="1240"/>
      <c r="LY41" s="1240"/>
      <c r="LZ41" s="1240"/>
      <c r="MA41" s="1240"/>
      <c r="MB41" s="1240"/>
      <c r="MC41" s="1240"/>
      <c r="MD41" s="1240"/>
      <c r="ME41" s="1240"/>
      <c r="MF41" s="1240"/>
      <c r="MG41" s="1240"/>
    </row>
    <row r="42" spans="1:345" s="1106" customFormat="1" x14ac:dyDescent="0.2">
      <c r="A42" s="1240"/>
      <c r="B42" s="1828"/>
      <c r="C42" s="1841"/>
      <c r="D42" s="1841"/>
      <c r="E42" s="1829"/>
      <c r="F42" s="1829"/>
      <c r="G42" s="1830"/>
      <c r="H42" s="1830"/>
      <c r="I42" s="1830"/>
      <c r="J42" s="1842"/>
      <c r="K42" s="1842"/>
      <c r="L42" s="427"/>
      <c r="M42" s="1394"/>
      <c r="N42" s="1143"/>
      <c r="O42" s="1235"/>
      <c r="P42" s="1236"/>
      <c r="Q42" s="1240"/>
      <c r="R42" s="1240"/>
      <c r="S42" s="1240"/>
      <c r="T42" s="1240"/>
      <c r="U42" s="1240"/>
      <c r="V42" s="1240"/>
      <c r="W42" s="1240"/>
      <c r="X42" s="1240"/>
      <c r="Y42" s="1240"/>
      <c r="Z42" s="1240"/>
      <c r="AA42" s="1240"/>
      <c r="AB42" s="1240"/>
      <c r="AC42" s="1240"/>
      <c r="AD42" s="1240"/>
      <c r="AE42" s="1240"/>
      <c r="AF42" s="1240"/>
      <c r="AG42" s="1240"/>
      <c r="AH42" s="1240"/>
      <c r="AI42" s="1240"/>
      <c r="AJ42" s="1240"/>
      <c r="AK42" s="1240"/>
      <c r="AL42" s="1240"/>
      <c r="AM42" s="1240"/>
      <c r="AN42" s="1240"/>
      <c r="AO42" s="1240"/>
      <c r="AP42" s="1240"/>
      <c r="AQ42" s="1240"/>
      <c r="AR42" s="1240"/>
      <c r="AS42" s="1240"/>
      <c r="AT42" s="1240"/>
      <c r="AU42" s="1240"/>
      <c r="AV42" s="1240"/>
      <c r="AW42" s="1240"/>
      <c r="AX42" s="1240"/>
      <c r="AY42" s="1240"/>
      <c r="AZ42" s="1240"/>
      <c r="BA42" s="1240"/>
      <c r="BB42" s="1240"/>
      <c r="BC42" s="1240"/>
      <c r="BD42" s="1240"/>
      <c r="BE42" s="1240"/>
      <c r="BF42" s="1240"/>
      <c r="BG42" s="1240"/>
      <c r="BH42" s="1240"/>
      <c r="BI42" s="1240"/>
      <c r="BJ42" s="1240"/>
      <c r="BK42" s="1240"/>
      <c r="BL42" s="1240"/>
      <c r="BM42" s="1240"/>
      <c r="BN42" s="1240"/>
      <c r="BO42" s="1240"/>
      <c r="BP42" s="1240"/>
      <c r="BQ42" s="1240"/>
      <c r="BR42" s="1240"/>
      <c r="BS42" s="1240"/>
      <c r="BT42" s="1240"/>
      <c r="BU42" s="1240"/>
      <c r="BV42" s="1240"/>
      <c r="BW42" s="1240"/>
      <c r="BX42" s="1240"/>
      <c r="BY42" s="1240"/>
      <c r="BZ42" s="1240"/>
      <c r="CA42" s="1240"/>
      <c r="CB42" s="1240"/>
      <c r="CC42" s="1240"/>
      <c r="CD42" s="1240"/>
      <c r="CE42" s="1240"/>
      <c r="CF42" s="1240"/>
      <c r="CG42" s="1240"/>
      <c r="CH42" s="1240"/>
      <c r="CI42" s="1240"/>
      <c r="CJ42" s="1240"/>
      <c r="CK42" s="1240"/>
      <c r="CL42" s="1240"/>
      <c r="CM42" s="1240"/>
      <c r="CN42" s="1240"/>
      <c r="CO42" s="1240"/>
      <c r="CP42" s="1240"/>
      <c r="CQ42" s="1240"/>
      <c r="CR42" s="1240"/>
      <c r="CS42" s="1240"/>
      <c r="CT42" s="1240"/>
      <c r="CU42" s="1240"/>
      <c r="CV42" s="1240"/>
      <c r="CW42" s="1240"/>
      <c r="CX42" s="1240"/>
      <c r="CY42" s="1240"/>
      <c r="CZ42" s="1240"/>
      <c r="DA42" s="1240"/>
      <c r="DB42" s="1240"/>
      <c r="DC42" s="1240"/>
      <c r="DD42" s="1240"/>
      <c r="DE42" s="1240"/>
      <c r="DF42" s="1240"/>
      <c r="DG42" s="1240"/>
      <c r="DH42" s="1240"/>
      <c r="DI42" s="1240"/>
      <c r="DJ42" s="1240"/>
      <c r="DK42" s="1240"/>
      <c r="DL42" s="1240"/>
      <c r="DM42" s="1240"/>
      <c r="DN42" s="1240"/>
      <c r="DO42" s="1240"/>
      <c r="DP42" s="1240"/>
      <c r="DQ42" s="1240"/>
      <c r="DR42" s="1240"/>
      <c r="DS42" s="1240"/>
      <c r="DT42" s="1240"/>
      <c r="DU42" s="1240"/>
      <c r="DV42" s="1240"/>
      <c r="DW42" s="1240"/>
      <c r="DX42" s="1240"/>
      <c r="DY42" s="1240"/>
      <c r="DZ42" s="1240"/>
      <c r="EA42" s="1240"/>
      <c r="EB42" s="1240"/>
      <c r="EC42" s="1240"/>
      <c r="ED42" s="1240"/>
      <c r="EE42" s="1240"/>
      <c r="EF42" s="1240"/>
      <c r="EG42" s="1240"/>
      <c r="EH42" s="1240"/>
      <c r="EI42" s="1240"/>
      <c r="EJ42" s="1240"/>
      <c r="EK42" s="1240"/>
      <c r="EL42" s="1240"/>
      <c r="EM42" s="1240"/>
      <c r="EN42" s="1240"/>
      <c r="EO42" s="1240"/>
      <c r="EP42" s="1240"/>
      <c r="EQ42" s="1240"/>
      <c r="ER42" s="1240"/>
      <c r="ES42" s="1240"/>
      <c r="ET42" s="1240"/>
      <c r="EU42" s="1240"/>
      <c r="EV42" s="1240"/>
      <c r="EW42" s="1240"/>
      <c r="EX42" s="1240"/>
      <c r="EY42" s="1240"/>
      <c r="EZ42" s="1240"/>
      <c r="FA42" s="1240"/>
      <c r="FB42" s="1240"/>
      <c r="FC42" s="1240"/>
      <c r="FD42" s="1240"/>
      <c r="FE42" s="1240"/>
      <c r="FF42" s="1240"/>
      <c r="FG42" s="1240"/>
      <c r="FH42" s="1240"/>
      <c r="FI42" s="1240"/>
      <c r="FJ42" s="1240"/>
      <c r="FK42" s="1240"/>
      <c r="FL42" s="1240"/>
      <c r="FM42" s="1240"/>
      <c r="FN42" s="1240"/>
      <c r="FO42" s="1240"/>
      <c r="FP42" s="1240"/>
      <c r="FQ42" s="1240"/>
      <c r="FR42" s="1240"/>
      <c r="FS42" s="1240"/>
      <c r="FT42" s="1240"/>
      <c r="FU42" s="1240"/>
      <c r="FV42" s="1240"/>
      <c r="FW42" s="1240"/>
      <c r="FX42" s="1240"/>
      <c r="FY42" s="1240"/>
      <c r="FZ42" s="1240"/>
      <c r="GA42" s="1240"/>
      <c r="GB42" s="1240"/>
      <c r="GC42" s="1240"/>
      <c r="GD42" s="1240"/>
      <c r="GE42" s="1240"/>
      <c r="GF42" s="1240"/>
      <c r="GG42" s="1240"/>
      <c r="GH42" s="1240"/>
      <c r="GI42" s="1240"/>
      <c r="GJ42" s="1240"/>
      <c r="GK42" s="1240"/>
      <c r="GL42" s="1240"/>
      <c r="GM42" s="1240"/>
      <c r="GN42" s="1240"/>
      <c r="GO42" s="1240"/>
      <c r="GP42" s="1240"/>
      <c r="GQ42" s="1240"/>
      <c r="GR42" s="1240"/>
      <c r="GS42" s="1240"/>
      <c r="GT42" s="1240"/>
      <c r="GU42" s="1240"/>
      <c r="GV42" s="1240"/>
      <c r="GW42" s="1240"/>
      <c r="GX42" s="1240"/>
      <c r="GY42" s="1240"/>
      <c r="GZ42" s="1240"/>
      <c r="HA42" s="1240"/>
      <c r="HB42" s="1240"/>
      <c r="HC42" s="1240"/>
      <c r="HD42" s="1240"/>
      <c r="HE42" s="1240"/>
      <c r="HF42" s="1240"/>
      <c r="HG42" s="1240"/>
      <c r="HH42" s="1240"/>
      <c r="HI42" s="1240"/>
      <c r="HJ42" s="1240"/>
      <c r="HK42" s="1240"/>
      <c r="HL42" s="1240"/>
      <c r="HM42" s="1240"/>
      <c r="HN42" s="1240"/>
      <c r="HO42" s="1240"/>
      <c r="HP42" s="1240"/>
      <c r="HQ42" s="1240"/>
      <c r="HR42" s="1240"/>
      <c r="HS42" s="1240"/>
      <c r="HT42" s="1240"/>
      <c r="HU42" s="1240"/>
      <c r="HV42" s="1240"/>
      <c r="HW42" s="1240"/>
      <c r="HX42" s="1240"/>
      <c r="HY42" s="1240"/>
      <c r="HZ42" s="1240"/>
      <c r="IA42" s="1240"/>
      <c r="IB42" s="1240"/>
      <c r="IC42" s="1240"/>
      <c r="ID42" s="1240"/>
      <c r="IE42" s="1240"/>
      <c r="IF42" s="1240"/>
      <c r="IG42" s="1240"/>
      <c r="IH42" s="1240"/>
      <c r="II42" s="1240"/>
      <c r="IJ42" s="1240"/>
      <c r="IK42" s="1240"/>
      <c r="IL42" s="1240"/>
      <c r="IM42" s="1240"/>
      <c r="IN42" s="1240"/>
      <c r="IO42" s="1240"/>
      <c r="IP42" s="1240"/>
      <c r="IQ42" s="1240"/>
      <c r="IR42" s="1240"/>
      <c r="IS42" s="1240"/>
      <c r="IT42" s="1240"/>
      <c r="IU42" s="1240"/>
      <c r="IV42" s="1240"/>
      <c r="IW42" s="1240"/>
      <c r="IX42" s="1240"/>
      <c r="IY42" s="1240"/>
      <c r="IZ42" s="1240"/>
      <c r="JA42" s="1240"/>
      <c r="JB42" s="1240"/>
      <c r="JC42" s="1240"/>
      <c r="JD42" s="1240"/>
      <c r="JE42" s="1240"/>
      <c r="JF42" s="1240"/>
      <c r="JG42" s="1240"/>
      <c r="JH42" s="1240"/>
      <c r="JI42" s="1240"/>
      <c r="JJ42" s="1240"/>
      <c r="JK42" s="1240"/>
      <c r="JL42" s="1240"/>
      <c r="JM42" s="1240"/>
      <c r="JN42" s="1240"/>
      <c r="JO42" s="1240"/>
      <c r="JP42" s="1240"/>
      <c r="JQ42" s="1240"/>
      <c r="JR42" s="1240"/>
      <c r="JS42" s="1240"/>
      <c r="JT42" s="1240"/>
      <c r="JU42" s="1240"/>
      <c r="JV42" s="1240"/>
      <c r="JW42" s="1240"/>
      <c r="JX42" s="1240"/>
      <c r="JY42" s="1240"/>
      <c r="JZ42" s="1240"/>
      <c r="KA42" s="1240"/>
      <c r="KB42" s="1240"/>
      <c r="KC42" s="1240"/>
      <c r="KD42" s="1240"/>
      <c r="KE42" s="1240"/>
      <c r="KF42" s="1240"/>
      <c r="KG42" s="1240"/>
      <c r="KH42" s="1240"/>
      <c r="KI42" s="1240"/>
      <c r="KJ42" s="1240"/>
      <c r="KK42" s="1240"/>
      <c r="KL42" s="1240"/>
      <c r="KM42" s="1240"/>
      <c r="KN42" s="1240"/>
      <c r="KO42" s="1240"/>
      <c r="KP42" s="1240"/>
      <c r="KQ42" s="1240"/>
      <c r="KR42" s="1240"/>
      <c r="KS42" s="1240"/>
      <c r="KT42" s="1240"/>
      <c r="KU42" s="1240"/>
      <c r="KV42" s="1240"/>
      <c r="KW42" s="1240"/>
      <c r="KX42" s="1240"/>
      <c r="KY42" s="1240"/>
      <c r="KZ42" s="1240"/>
      <c r="LA42" s="1240"/>
      <c r="LB42" s="1240"/>
      <c r="LC42" s="1240"/>
      <c r="LD42" s="1240"/>
      <c r="LE42" s="1240"/>
      <c r="LF42" s="1240"/>
      <c r="LG42" s="1240"/>
      <c r="LH42" s="1240"/>
      <c r="LI42" s="1240"/>
      <c r="LJ42" s="1240"/>
      <c r="LK42" s="1240"/>
      <c r="LL42" s="1240"/>
      <c r="LM42" s="1240"/>
      <c r="LN42" s="1240"/>
      <c r="LO42" s="1240"/>
      <c r="LP42" s="1240"/>
      <c r="LQ42" s="1240"/>
      <c r="LR42" s="1240"/>
      <c r="LS42" s="1240"/>
      <c r="LT42" s="1240"/>
      <c r="LU42" s="1240"/>
      <c r="LV42" s="1240"/>
      <c r="LW42" s="1240"/>
      <c r="LX42" s="1240"/>
      <c r="LY42" s="1240"/>
      <c r="LZ42" s="1240"/>
      <c r="MA42" s="1240"/>
      <c r="MB42" s="1240"/>
      <c r="MC42" s="1240"/>
      <c r="MD42" s="1240"/>
      <c r="ME42" s="1240"/>
      <c r="MF42" s="1240"/>
      <c r="MG42" s="1240"/>
    </row>
    <row r="43" spans="1:345" s="1106" customFormat="1" x14ac:dyDescent="0.2">
      <c r="A43" s="1240"/>
      <c r="B43" s="1828"/>
      <c r="C43" s="1841"/>
      <c r="D43" s="1841"/>
      <c r="E43" s="1829"/>
      <c r="F43" s="1829"/>
      <c r="G43" s="1830"/>
      <c r="H43" s="1830"/>
      <c r="I43" s="1830"/>
      <c r="J43" s="1842"/>
      <c r="K43" s="1842"/>
      <c r="L43" s="1793" t="s">
        <v>1033</v>
      </c>
      <c r="M43" s="1794"/>
      <c r="N43" s="1795"/>
      <c r="O43" s="1796"/>
      <c r="P43" s="1797"/>
      <c r="Q43" s="1240"/>
      <c r="R43" s="1240"/>
      <c r="S43" s="1240"/>
      <c r="T43" s="1240"/>
      <c r="U43" s="1240"/>
      <c r="V43" s="1240"/>
      <c r="W43" s="1240"/>
      <c r="X43" s="1240"/>
      <c r="Y43" s="1240"/>
      <c r="Z43" s="1240"/>
      <c r="AA43" s="1240"/>
      <c r="AB43" s="1240"/>
      <c r="AC43" s="1240"/>
      <c r="AD43" s="1240"/>
      <c r="AE43" s="1240"/>
      <c r="AF43" s="1240"/>
      <c r="AG43" s="1240"/>
      <c r="AH43" s="1240"/>
      <c r="AI43" s="1240"/>
      <c r="AJ43" s="1240"/>
      <c r="AK43" s="1240"/>
      <c r="AL43" s="1240"/>
      <c r="AM43" s="1240"/>
      <c r="AN43" s="1240"/>
      <c r="AO43" s="1240"/>
      <c r="AP43" s="1240"/>
      <c r="AQ43" s="1240"/>
      <c r="AR43" s="1240"/>
      <c r="AS43" s="1240"/>
      <c r="AT43" s="1240"/>
      <c r="AU43" s="1240"/>
      <c r="AV43" s="1240"/>
      <c r="AW43" s="1240"/>
      <c r="AX43" s="1240"/>
      <c r="AY43" s="1240"/>
      <c r="AZ43" s="1240"/>
      <c r="BA43" s="1240"/>
      <c r="BB43" s="1240"/>
      <c r="BC43" s="1240"/>
      <c r="BD43" s="1240"/>
      <c r="BE43" s="1240"/>
      <c r="BF43" s="1240"/>
      <c r="BG43" s="1240"/>
      <c r="BH43" s="1240"/>
      <c r="BI43" s="1240"/>
      <c r="BJ43" s="1240"/>
      <c r="BK43" s="1240"/>
      <c r="BL43" s="1240"/>
      <c r="BM43" s="1240"/>
      <c r="BN43" s="1240"/>
      <c r="BO43" s="1240"/>
      <c r="BP43" s="1240"/>
      <c r="BQ43" s="1240"/>
      <c r="BR43" s="1240"/>
      <c r="BS43" s="1240"/>
      <c r="BT43" s="1240"/>
      <c r="BU43" s="1240"/>
      <c r="BV43" s="1240"/>
      <c r="BW43" s="1240"/>
      <c r="BX43" s="1240"/>
      <c r="BY43" s="1240"/>
      <c r="BZ43" s="1240"/>
      <c r="CA43" s="1240"/>
      <c r="CB43" s="1240"/>
      <c r="CC43" s="1240"/>
      <c r="CD43" s="1240"/>
      <c r="CE43" s="1240"/>
      <c r="CF43" s="1240"/>
      <c r="CG43" s="1240"/>
      <c r="CH43" s="1240"/>
      <c r="CI43" s="1240"/>
      <c r="CJ43" s="1240"/>
      <c r="CK43" s="1240"/>
      <c r="CL43" s="1240"/>
      <c r="CM43" s="1240"/>
      <c r="CN43" s="1240"/>
      <c r="CO43" s="1240"/>
      <c r="CP43" s="1240"/>
      <c r="CQ43" s="1240"/>
      <c r="CR43" s="1240"/>
      <c r="CS43" s="1240"/>
      <c r="CT43" s="1240"/>
      <c r="CU43" s="1240"/>
      <c r="CV43" s="1240"/>
      <c r="CW43" s="1240"/>
      <c r="CX43" s="1240"/>
      <c r="CY43" s="1240"/>
      <c r="CZ43" s="1240"/>
      <c r="DA43" s="1240"/>
      <c r="DB43" s="1240"/>
      <c r="DC43" s="1240"/>
      <c r="DD43" s="1240"/>
      <c r="DE43" s="1240"/>
      <c r="DF43" s="1240"/>
      <c r="DG43" s="1240"/>
      <c r="DH43" s="1240"/>
      <c r="DI43" s="1240"/>
      <c r="DJ43" s="1240"/>
      <c r="DK43" s="1240"/>
      <c r="DL43" s="1240"/>
      <c r="DM43" s="1240"/>
      <c r="DN43" s="1240"/>
      <c r="DO43" s="1240"/>
      <c r="DP43" s="1240"/>
      <c r="DQ43" s="1240"/>
      <c r="DR43" s="1240"/>
      <c r="DS43" s="1240"/>
      <c r="DT43" s="1240"/>
      <c r="DU43" s="1240"/>
      <c r="DV43" s="1240"/>
      <c r="DW43" s="1240"/>
      <c r="DX43" s="1240"/>
      <c r="DY43" s="1240"/>
      <c r="DZ43" s="1240"/>
      <c r="EA43" s="1240"/>
      <c r="EB43" s="1240"/>
      <c r="EC43" s="1240"/>
      <c r="ED43" s="1240"/>
      <c r="EE43" s="1240"/>
      <c r="EF43" s="1240"/>
      <c r="EG43" s="1240"/>
      <c r="EH43" s="1240"/>
      <c r="EI43" s="1240"/>
      <c r="EJ43" s="1240"/>
      <c r="EK43" s="1240"/>
      <c r="EL43" s="1240"/>
      <c r="EM43" s="1240"/>
      <c r="EN43" s="1240"/>
      <c r="EO43" s="1240"/>
      <c r="EP43" s="1240"/>
      <c r="EQ43" s="1240"/>
      <c r="ER43" s="1240"/>
      <c r="ES43" s="1240"/>
      <c r="ET43" s="1240"/>
      <c r="EU43" s="1240"/>
      <c r="EV43" s="1240"/>
      <c r="EW43" s="1240"/>
      <c r="EX43" s="1240"/>
      <c r="EY43" s="1240"/>
      <c r="EZ43" s="1240"/>
      <c r="FA43" s="1240"/>
      <c r="FB43" s="1240"/>
      <c r="FC43" s="1240"/>
      <c r="FD43" s="1240"/>
      <c r="FE43" s="1240"/>
      <c r="FF43" s="1240"/>
      <c r="FG43" s="1240"/>
      <c r="FH43" s="1240"/>
      <c r="FI43" s="1240"/>
      <c r="FJ43" s="1240"/>
      <c r="FK43" s="1240"/>
      <c r="FL43" s="1240"/>
      <c r="FM43" s="1240"/>
      <c r="FN43" s="1240"/>
      <c r="FO43" s="1240"/>
      <c r="FP43" s="1240"/>
      <c r="FQ43" s="1240"/>
      <c r="FR43" s="1240"/>
      <c r="FS43" s="1240"/>
      <c r="FT43" s="1240"/>
      <c r="FU43" s="1240"/>
      <c r="FV43" s="1240"/>
      <c r="FW43" s="1240"/>
      <c r="FX43" s="1240"/>
      <c r="FY43" s="1240"/>
      <c r="FZ43" s="1240"/>
      <c r="GA43" s="1240"/>
      <c r="GB43" s="1240"/>
      <c r="GC43" s="1240"/>
      <c r="GD43" s="1240"/>
      <c r="GE43" s="1240"/>
      <c r="GF43" s="1240"/>
      <c r="GG43" s="1240"/>
      <c r="GH43" s="1240"/>
      <c r="GI43" s="1240"/>
      <c r="GJ43" s="1240"/>
      <c r="GK43" s="1240"/>
      <c r="GL43" s="1240"/>
      <c r="GM43" s="1240"/>
      <c r="GN43" s="1240"/>
      <c r="GO43" s="1240"/>
      <c r="GP43" s="1240"/>
      <c r="GQ43" s="1240"/>
      <c r="GR43" s="1240"/>
      <c r="GS43" s="1240"/>
      <c r="GT43" s="1240"/>
      <c r="GU43" s="1240"/>
      <c r="GV43" s="1240"/>
      <c r="GW43" s="1240"/>
      <c r="GX43" s="1240"/>
      <c r="GY43" s="1240"/>
      <c r="GZ43" s="1240"/>
      <c r="HA43" s="1240"/>
      <c r="HB43" s="1240"/>
      <c r="HC43" s="1240"/>
      <c r="HD43" s="1240"/>
      <c r="HE43" s="1240"/>
      <c r="HF43" s="1240"/>
      <c r="HG43" s="1240"/>
      <c r="HH43" s="1240"/>
      <c r="HI43" s="1240"/>
      <c r="HJ43" s="1240"/>
      <c r="HK43" s="1240"/>
      <c r="HL43" s="1240"/>
      <c r="HM43" s="1240"/>
      <c r="HN43" s="1240"/>
      <c r="HO43" s="1240"/>
      <c r="HP43" s="1240"/>
      <c r="HQ43" s="1240"/>
      <c r="HR43" s="1240"/>
      <c r="HS43" s="1240"/>
      <c r="HT43" s="1240"/>
      <c r="HU43" s="1240"/>
      <c r="HV43" s="1240"/>
      <c r="HW43" s="1240"/>
      <c r="HX43" s="1240"/>
      <c r="HY43" s="1240"/>
      <c r="HZ43" s="1240"/>
      <c r="IA43" s="1240"/>
      <c r="IB43" s="1240"/>
      <c r="IC43" s="1240"/>
      <c r="ID43" s="1240"/>
      <c r="IE43" s="1240"/>
      <c r="IF43" s="1240"/>
      <c r="IG43" s="1240"/>
      <c r="IH43" s="1240"/>
      <c r="II43" s="1240"/>
      <c r="IJ43" s="1240"/>
      <c r="IK43" s="1240"/>
      <c r="IL43" s="1240"/>
      <c r="IM43" s="1240"/>
      <c r="IN43" s="1240"/>
      <c r="IO43" s="1240"/>
      <c r="IP43" s="1240"/>
      <c r="IQ43" s="1240"/>
      <c r="IR43" s="1240"/>
      <c r="IS43" s="1240"/>
      <c r="IT43" s="1240"/>
      <c r="IU43" s="1240"/>
      <c r="IV43" s="1240"/>
      <c r="IW43" s="1240"/>
      <c r="IX43" s="1240"/>
      <c r="IY43" s="1240"/>
      <c r="IZ43" s="1240"/>
      <c r="JA43" s="1240"/>
      <c r="JB43" s="1240"/>
      <c r="JC43" s="1240"/>
      <c r="JD43" s="1240"/>
      <c r="JE43" s="1240"/>
      <c r="JF43" s="1240"/>
      <c r="JG43" s="1240"/>
      <c r="JH43" s="1240"/>
      <c r="JI43" s="1240"/>
      <c r="JJ43" s="1240"/>
      <c r="JK43" s="1240"/>
      <c r="JL43" s="1240"/>
      <c r="JM43" s="1240"/>
      <c r="JN43" s="1240"/>
      <c r="JO43" s="1240"/>
      <c r="JP43" s="1240"/>
      <c r="JQ43" s="1240"/>
      <c r="JR43" s="1240"/>
      <c r="JS43" s="1240"/>
      <c r="JT43" s="1240"/>
      <c r="JU43" s="1240"/>
      <c r="JV43" s="1240"/>
      <c r="JW43" s="1240"/>
      <c r="JX43" s="1240"/>
      <c r="JY43" s="1240"/>
      <c r="JZ43" s="1240"/>
      <c r="KA43" s="1240"/>
      <c r="KB43" s="1240"/>
      <c r="KC43" s="1240"/>
      <c r="KD43" s="1240"/>
      <c r="KE43" s="1240"/>
      <c r="KF43" s="1240"/>
      <c r="KG43" s="1240"/>
      <c r="KH43" s="1240"/>
      <c r="KI43" s="1240"/>
      <c r="KJ43" s="1240"/>
      <c r="KK43" s="1240"/>
      <c r="KL43" s="1240"/>
      <c r="KM43" s="1240"/>
      <c r="KN43" s="1240"/>
      <c r="KO43" s="1240"/>
      <c r="KP43" s="1240"/>
      <c r="KQ43" s="1240"/>
      <c r="KR43" s="1240"/>
      <c r="KS43" s="1240"/>
      <c r="KT43" s="1240"/>
      <c r="KU43" s="1240"/>
      <c r="KV43" s="1240"/>
      <c r="KW43" s="1240"/>
      <c r="KX43" s="1240"/>
      <c r="KY43" s="1240"/>
      <c r="KZ43" s="1240"/>
      <c r="LA43" s="1240"/>
      <c r="LB43" s="1240"/>
      <c r="LC43" s="1240"/>
      <c r="LD43" s="1240"/>
      <c r="LE43" s="1240"/>
      <c r="LF43" s="1240"/>
      <c r="LG43" s="1240"/>
      <c r="LH43" s="1240"/>
      <c r="LI43" s="1240"/>
      <c r="LJ43" s="1240"/>
      <c r="LK43" s="1240"/>
      <c r="LL43" s="1240"/>
      <c r="LM43" s="1240"/>
      <c r="LN43" s="1240"/>
      <c r="LO43" s="1240"/>
      <c r="LP43" s="1240"/>
      <c r="LQ43" s="1240"/>
      <c r="LR43" s="1240"/>
      <c r="LS43" s="1240"/>
      <c r="LT43" s="1240"/>
      <c r="LU43" s="1240"/>
      <c r="LV43" s="1240"/>
      <c r="LW43" s="1240"/>
      <c r="LX43" s="1240"/>
      <c r="LY43" s="1240"/>
      <c r="LZ43" s="1240"/>
      <c r="MA43" s="1240"/>
      <c r="MB43" s="1240"/>
      <c r="MC43" s="1240"/>
      <c r="MD43" s="1240"/>
      <c r="ME43" s="1240"/>
      <c r="MF43" s="1240"/>
      <c r="MG43" s="1240"/>
    </row>
    <row r="44" spans="1:345" s="1106" customFormat="1" x14ac:dyDescent="0.2">
      <c r="A44" s="1240"/>
      <c r="B44" s="1828"/>
      <c r="C44" s="1841"/>
      <c r="D44" s="1841"/>
      <c r="E44" s="1829"/>
      <c r="F44" s="1829"/>
      <c r="G44" s="1830"/>
      <c r="H44" s="1830"/>
      <c r="I44" s="1830"/>
      <c r="J44" s="1842"/>
      <c r="K44" s="1842"/>
      <c r="L44" s="1798" t="s">
        <v>1034</v>
      </c>
      <c r="M44" s="1794">
        <f>2*6</f>
        <v>12</v>
      </c>
      <c r="N44" s="1799" t="s">
        <v>138</v>
      </c>
      <c r="O44" s="1800">
        <v>0</v>
      </c>
      <c r="P44" s="1797">
        <f>M44*O44</f>
        <v>0</v>
      </c>
      <c r="Q44" s="1240"/>
      <c r="R44" s="1240"/>
      <c r="S44" s="1240"/>
      <c r="T44" s="1240"/>
      <c r="U44" s="1240"/>
      <c r="V44" s="1240"/>
      <c r="W44" s="1240"/>
      <c r="X44" s="1240"/>
      <c r="Y44" s="1240"/>
      <c r="Z44" s="1240"/>
      <c r="AA44" s="1240"/>
      <c r="AB44" s="1240"/>
      <c r="AC44" s="1240"/>
      <c r="AD44" s="1240"/>
      <c r="AE44" s="1240"/>
      <c r="AF44" s="1240"/>
      <c r="AG44" s="1240"/>
      <c r="AH44" s="1240"/>
      <c r="AI44" s="1240"/>
      <c r="AJ44" s="1240"/>
      <c r="AK44" s="1240"/>
      <c r="AL44" s="1240"/>
      <c r="AM44" s="1240"/>
      <c r="AN44" s="1240"/>
      <c r="AO44" s="1240"/>
      <c r="AP44" s="1240"/>
      <c r="AQ44" s="1240"/>
      <c r="AR44" s="1240"/>
      <c r="AS44" s="1240"/>
      <c r="AT44" s="1240"/>
      <c r="AU44" s="1240"/>
      <c r="AV44" s="1240"/>
      <c r="AW44" s="1240"/>
      <c r="AX44" s="1240"/>
      <c r="AY44" s="1240"/>
      <c r="AZ44" s="1240"/>
      <c r="BA44" s="1240"/>
      <c r="BB44" s="1240"/>
      <c r="BC44" s="1240"/>
      <c r="BD44" s="1240"/>
      <c r="BE44" s="1240"/>
      <c r="BF44" s="1240"/>
      <c r="BG44" s="1240"/>
      <c r="BH44" s="1240"/>
      <c r="BI44" s="1240"/>
      <c r="BJ44" s="1240"/>
      <c r="BK44" s="1240"/>
      <c r="BL44" s="1240"/>
      <c r="BM44" s="1240"/>
      <c r="BN44" s="1240"/>
      <c r="BO44" s="1240"/>
      <c r="BP44" s="1240"/>
      <c r="BQ44" s="1240"/>
      <c r="BR44" s="1240"/>
      <c r="BS44" s="1240"/>
      <c r="BT44" s="1240"/>
      <c r="BU44" s="1240"/>
      <c r="BV44" s="1240"/>
      <c r="BW44" s="1240"/>
      <c r="BX44" s="1240"/>
      <c r="BY44" s="1240"/>
      <c r="BZ44" s="1240"/>
      <c r="CA44" s="1240"/>
      <c r="CB44" s="1240"/>
      <c r="CC44" s="1240"/>
      <c r="CD44" s="1240"/>
      <c r="CE44" s="1240"/>
      <c r="CF44" s="1240"/>
      <c r="CG44" s="1240"/>
      <c r="CH44" s="1240"/>
      <c r="CI44" s="1240"/>
      <c r="CJ44" s="1240"/>
      <c r="CK44" s="1240"/>
      <c r="CL44" s="1240"/>
      <c r="CM44" s="1240"/>
      <c r="CN44" s="1240"/>
      <c r="CO44" s="1240"/>
      <c r="CP44" s="1240"/>
      <c r="CQ44" s="1240"/>
      <c r="CR44" s="1240"/>
      <c r="CS44" s="1240"/>
      <c r="CT44" s="1240"/>
      <c r="CU44" s="1240"/>
      <c r="CV44" s="1240"/>
      <c r="CW44" s="1240"/>
      <c r="CX44" s="1240"/>
      <c r="CY44" s="1240"/>
      <c r="CZ44" s="1240"/>
      <c r="DA44" s="1240"/>
      <c r="DB44" s="1240"/>
      <c r="DC44" s="1240"/>
      <c r="DD44" s="1240"/>
      <c r="DE44" s="1240"/>
      <c r="DF44" s="1240"/>
      <c r="DG44" s="1240"/>
      <c r="DH44" s="1240"/>
      <c r="DI44" s="1240"/>
      <c r="DJ44" s="1240"/>
      <c r="DK44" s="1240"/>
      <c r="DL44" s="1240"/>
      <c r="DM44" s="1240"/>
      <c r="DN44" s="1240"/>
      <c r="DO44" s="1240"/>
      <c r="DP44" s="1240"/>
      <c r="DQ44" s="1240"/>
      <c r="DR44" s="1240"/>
      <c r="DS44" s="1240"/>
      <c r="DT44" s="1240"/>
      <c r="DU44" s="1240"/>
      <c r="DV44" s="1240"/>
      <c r="DW44" s="1240"/>
      <c r="DX44" s="1240"/>
      <c r="DY44" s="1240"/>
      <c r="DZ44" s="1240"/>
      <c r="EA44" s="1240"/>
      <c r="EB44" s="1240"/>
      <c r="EC44" s="1240"/>
      <c r="ED44" s="1240"/>
      <c r="EE44" s="1240"/>
      <c r="EF44" s="1240"/>
      <c r="EG44" s="1240"/>
      <c r="EH44" s="1240"/>
      <c r="EI44" s="1240"/>
      <c r="EJ44" s="1240"/>
      <c r="EK44" s="1240"/>
      <c r="EL44" s="1240"/>
      <c r="EM44" s="1240"/>
      <c r="EN44" s="1240"/>
      <c r="EO44" s="1240"/>
      <c r="EP44" s="1240"/>
      <c r="EQ44" s="1240"/>
      <c r="ER44" s="1240"/>
      <c r="ES44" s="1240"/>
      <c r="ET44" s="1240"/>
      <c r="EU44" s="1240"/>
      <c r="EV44" s="1240"/>
      <c r="EW44" s="1240"/>
      <c r="EX44" s="1240"/>
      <c r="EY44" s="1240"/>
      <c r="EZ44" s="1240"/>
      <c r="FA44" s="1240"/>
      <c r="FB44" s="1240"/>
      <c r="FC44" s="1240"/>
      <c r="FD44" s="1240"/>
      <c r="FE44" s="1240"/>
      <c r="FF44" s="1240"/>
      <c r="FG44" s="1240"/>
      <c r="FH44" s="1240"/>
      <c r="FI44" s="1240"/>
      <c r="FJ44" s="1240"/>
      <c r="FK44" s="1240"/>
      <c r="FL44" s="1240"/>
      <c r="FM44" s="1240"/>
      <c r="FN44" s="1240"/>
      <c r="FO44" s="1240"/>
      <c r="FP44" s="1240"/>
      <c r="FQ44" s="1240"/>
      <c r="FR44" s="1240"/>
      <c r="FS44" s="1240"/>
      <c r="FT44" s="1240"/>
      <c r="FU44" s="1240"/>
      <c r="FV44" s="1240"/>
      <c r="FW44" s="1240"/>
      <c r="FX44" s="1240"/>
      <c r="FY44" s="1240"/>
      <c r="FZ44" s="1240"/>
      <c r="GA44" s="1240"/>
      <c r="GB44" s="1240"/>
      <c r="GC44" s="1240"/>
      <c r="GD44" s="1240"/>
      <c r="GE44" s="1240"/>
      <c r="GF44" s="1240"/>
      <c r="GG44" s="1240"/>
      <c r="GH44" s="1240"/>
      <c r="GI44" s="1240"/>
      <c r="GJ44" s="1240"/>
      <c r="GK44" s="1240"/>
      <c r="GL44" s="1240"/>
      <c r="GM44" s="1240"/>
      <c r="GN44" s="1240"/>
      <c r="GO44" s="1240"/>
      <c r="GP44" s="1240"/>
      <c r="GQ44" s="1240"/>
      <c r="GR44" s="1240"/>
      <c r="GS44" s="1240"/>
      <c r="GT44" s="1240"/>
      <c r="GU44" s="1240"/>
      <c r="GV44" s="1240"/>
      <c r="GW44" s="1240"/>
      <c r="GX44" s="1240"/>
      <c r="GY44" s="1240"/>
      <c r="GZ44" s="1240"/>
      <c r="HA44" s="1240"/>
      <c r="HB44" s="1240"/>
      <c r="HC44" s="1240"/>
      <c r="HD44" s="1240"/>
      <c r="HE44" s="1240"/>
      <c r="HF44" s="1240"/>
      <c r="HG44" s="1240"/>
      <c r="HH44" s="1240"/>
      <c r="HI44" s="1240"/>
      <c r="HJ44" s="1240"/>
      <c r="HK44" s="1240"/>
      <c r="HL44" s="1240"/>
      <c r="HM44" s="1240"/>
      <c r="HN44" s="1240"/>
      <c r="HO44" s="1240"/>
      <c r="HP44" s="1240"/>
      <c r="HQ44" s="1240"/>
      <c r="HR44" s="1240"/>
      <c r="HS44" s="1240"/>
      <c r="HT44" s="1240"/>
      <c r="HU44" s="1240"/>
      <c r="HV44" s="1240"/>
      <c r="HW44" s="1240"/>
      <c r="HX44" s="1240"/>
      <c r="HY44" s="1240"/>
      <c r="HZ44" s="1240"/>
      <c r="IA44" s="1240"/>
      <c r="IB44" s="1240"/>
      <c r="IC44" s="1240"/>
      <c r="ID44" s="1240"/>
      <c r="IE44" s="1240"/>
      <c r="IF44" s="1240"/>
      <c r="IG44" s="1240"/>
      <c r="IH44" s="1240"/>
      <c r="II44" s="1240"/>
      <c r="IJ44" s="1240"/>
      <c r="IK44" s="1240"/>
      <c r="IL44" s="1240"/>
      <c r="IM44" s="1240"/>
      <c r="IN44" s="1240"/>
      <c r="IO44" s="1240"/>
      <c r="IP44" s="1240"/>
      <c r="IQ44" s="1240"/>
      <c r="IR44" s="1240"/>
      <c r="IS44" s="1240"/>
      <c r="IT44" s="1240"/>
      <c r="IU44" s="1240"/>
      <c r="IV44" s="1240"/>
      <c r="IW44" s="1240"/>
      <c r="IX44" s="1240"/>
      <c r="IY44" s="1240"/>
      <c r="IZ44" s="1240"/>
      <c r="JA44" s="1240"/>
      <c r="JB44" s="1240"/>
      <c r="JC44" s="1240"/>
      <c r="JD44" s="1240"/>
      <c r="JE44" s="1240"/>
      <c r="JF44" s="1240"/>
      <c r="JG44" s="1240"/>
      <c r="JH44" s="1240"/>
      <c r="JI44" s="1240"/>
      <c r="JJ44" s="1240"/>
      <c r="JK44" s="1240"/>
      <c r="JL44" s="1240"/>
      <c r="JM44" s="1240"/>
      <c r="JN44" s="1240"/>
      <c r="JO44" s="1240"/>
      <c r="JP44" s="1240"/>
      <c r="JQ44" s="1240"/>
      <c r="JR44" s="1240"/>
      <c r="JS44" s="1240"/>
      <c r="JT44" s="1240"/>
      <c r="JU44" s="1240"/>
      <c r="JV44" s="1240"/>
      <c r="JW44" s="1240"/>
      <c r="JX44" s="1240"/>
      <c r="JY44" s="1240"/>
      <c r="JZ44" s="1240"/>
      <c r="KA44" s="1240"/>
      <c r="KB44" s="1240"/>
      <c r="KC44" s="1240"/>
      <c r="KD44" s="1240"/>
      <c r="KE44" s="1240"/>
      <c r="KF44" s="1240"/>
      <c r="KG44" s="1240"/>
      <c r="KH44" s="1240"/>
      <c r="KI44" s="1240"/>
      <c r="KJ44" s="1240"/>
      <c r="KK44" s="1240"/>
      <c r="KL44" s="1240"/>
      <c r="KM44" s="1240"/>
      <c r="KN44" s="1240"/>
      <c r="KO44" s="1240"/>
      <c r="KP44" s="1240"/>
      <c r="KQ44" s="1240"/>
      <c r="KR44" s="1240"/>
      <c r="KS44" s="1240"/>
      <c r="KT44" s="1240"/>
      <c r="KU44" s="1240"/>
      <c r="KV44" s="1240"/>
      <c r="KW44" s="1240"/>
      <c r="KX44" s="1240"/>
      <c r="KY44" s="1240"/>
      <c r="KZ44" s="1240"/>
      <c r="LA44" s="1240"/>
      <c r="LB44" s="1240"/>
      <c r="LC44" s="1240"/>
      <c r="LD44" s="1240"/>
      <c r="LE44" s="1240"/>
      <c r="LF44" s="1240"/>
      <c r="LG44" s="1240"/>
      <c r="LH44" s="1240"/>
      <c r="LI44" s="1240"/>
      <c r="LJ44" s="1240"/>
      <c r="LK44" s="1240"/>
      <c r="LL44" s="1240"/>
      <c r="LM44" s="1240"/>
      <c r="LN44" s="1240"/>
      <c r="LO44" s="1240"/>
      <c r="LP44" s="1240"/>
      <c r="LQ44" s="1240"/>
      <c r="LR44" s="1240"/>
      <c r="LS44" s="1240"/>
      <c r="LT44" s="1240"/>
      <c r="LU44" s="1240"/>
      <c r="LV44" s="1240"/>
      <c r="LW44" s="1240"/>
      <c r="LX44" s="1240"/>
      <c r="LY44" s="1240"/>
      <c r="LZ44" s="1240"/>
      <c r="MA44" s="1240"/>
      <c r="MB44" s="1240"/>
      <c r="MC44" s="1240"/>
      <c r="MD44" s="1240"/>
      <c r="ME44" s="1240"/>
      <c r="MF44" s="1240"/>
      <c r="MG44" s="1240"/>
    </row>
    <row r="45" spans="1:345" s="1106" customFormat="1" x14ac:dyDescent="0.2">
      <c r="A45" s="1240"/>
      <c r="B45" s="1828"/>
      <c r="C45" s="1841"/>
      <c r="D45" s="1841"/>
      <c r="E45" s="1829"/>
      <c r="F45" s="1829"/>
      <c r="G45" s="1830"/>
      <c r="H45" s="1830"/>
      <c r="I45" s="1830"/>
      <c r="J45" s="1842"/>
      <c r="K45" s="1842"/>
      <c r="L45" s="1801" t="s">
        <v>1035</v>
      </c>
      <c r="M45" s="1794">
        <f>1*6</f>
        <v>6</v>
      </c>
      <c r="N45" s="1799" t="s">
        <v>138</v>
      </c>
      <c r="O45" s="1800">
        <v>0</v>
      </c>
      <c r="P45" s="1797">
        <f>M45*O45</f>
        <v>0</v>
      </c>
      <c r="Q45" s="1240"/>
      <c r="R45" s="1240"/>
      <c r="S45" s="1240"/>
      <c r="T45" s="1240"/>
      <c r="U45" s="1240"/>
      <c r="V45" s="1240"/>
      <c r="W45" s="1240"/>
      <c r="X45" s="1240"/>
      <c r="Y45" s="1240"/>
      <c r="Z45" s="1240"/>
      <c r="AA45" s="1240"/>
      <c r="AB45" s="1240"/>
      <c r="AC45" s="1240"/>
      <c r="AD45" s="1240"/>
      <c r="AE45" s="1240"/>
      <c r="AF45" s="1240"/>
      <c r="AG45" s="1240"/>
      <c r="AH45" s="1240"/>
      <c r="AI45" s="1240"/>
      <c r="AJ45" s="1240"/>
      <c r="AK45" s="1240"/>
      <c r="AL45" s="1240"/>
      <c r="AM45" s="1240"/>
      <c r="AN45" s="1240"/>
      <c r="AO45" s="1240"/>
      <c r="AP45" s="1240"/>
      <c r="AQ45" s="1240"/>
      <c r="AR45" s="1240"/>
      <c r="AS45" s="1240"/>
      <c r="AT45" s="1240"/>
      <c r="AU45" s="1240"/>
      <c r="AV45" s="1240"/>
      <c r="AW45" s="1240"/>
      <c r="AX45" s="1240"/>
      <c r="AY45" s="1240"/>
      <c r="AZ45" s="1240"/>
      <c r="BA45" s="1240"/>
      <c r="BB45" s="1240"/>
      <c r="BC45" s="1240"/>
      <c r="BD45" s="1240"/>
      <c r="BE45" s="1240"/>
      <c r="BF45" s="1240"/>
      <c r="BG45" s="1240"/>
      <c r="BH45" s="1240"/>
      <c r="BI45" s="1240"/>
      <c r="BJ45" s="1240"/>
      <c r="BK45" s="1240"/>
      <c r="BL45" s="1240"/>
      <c r="BM45" s="1240"/>
      <c r="BN45" s="1240"/>
      <c r="BO45" s="1240"/>
      <c r="BP45" s="1240"/>
      <c r="BQ45" s="1240"/>
      <c r="BR45" s="1240"/>
      <c r="BS45" s="1240"/>
      <c r="BT45" s="1240"/>
      <c r="BU45" s="1240"/>
      <c r="BV45" s="1240"/>
      <c r="BW45" s="1240"/>
      <c r="BX45" s="1240"/>
      <c r="BY45" s="1240"/>
      <c r="BZ45" s="1240"/>
      <c r="CA45" s="1240"/>
      <c r="CB45" s="1240"/>
      <c r="CC45" s="1240"/>
      <c r="CD45" s="1240"/>
      <c r="CE45" s="1240"/>
      <c r="CF45" s="1240"/>
      <c r="CG45" s="1240"/>
      <c r="CH45" s="1240"/>
      <c r="CI45" s="1240"/>
      <c r="CJ45" s="1240"/>
      <c r="CK45" s="1240"/>
      <c r="CL45" s="1240"/>
      <c r="CM45" s="1240"/>
      <c r="CN45" s="1240"/>
      <c r="CO45" s="1240"/>
      <c r="CP45" s="1240"/>
      <c r="CQ45" s="1240"/>
      <c r="CR45" s="1240"/>
      <c r="CS45" s="1240"/>
      <c r="CT45" s="1240"/>
      <c r="CU45" s="1240"/>
      <c r="CV45" s="1240"/>
      <c r="CW45" s="1240"/>
      <c r="CX45" s="1240"/>
      <c r="CY45" s="1240"/>
      <c r="CZ45" s="1240"/>
      <c r="DA45" s="1240"/>
      <c r="DB45" s="1240"/>
      <c r="DC45" s="1240"/>
      <c r="DD45" s="1240"/>
      <c r="DE45" s="1240"/>
      <c r="DF45" s="1240"/>
      <c r="DG45" s="1240"/>
      <c r="DH45" s="1240"/>
      <c r="DI45" s="1240"/>
      <c r="DJ45" s="1240"/>
      <c r="DK45" s="1240"/>
      <c r="DL45" s="1240"/>
      <c r="DM45" s="1240"/>
      <c r="DN45" s="1240"/>
      <c r="DO45" s="1240"/>
      <c r="DP45" s="1240"/>
      <c r="DQ45" s="1240"/>
      <c r="DR45" s="1240"/>
      <c r="DS45" s="1240"/>
      <c r="DT45" s="1240"/>
      <c r="DU45" s="1240"/>
      <c r="DV45" s="1240"/>
      <c r="DW45" s="1240"/>
      <c r="DX45" s="1240"/>
      <c r="DY45" s="1240"/>
      <c r="DZ45" s="1240"/>
      <c r="EA45" s="1240"/>
      <c r="EB45" s="1240"/>
      <c r="EC45" s="1240"/>
      <c r="ED45" s="1240"/>
      <c r="EE45" s="1240"/>
      <c r="EF45" s="1240"/>
      <c r="EG45" s="1240"/>
      <c r="EH45" s="1240"/>
      <c r="EI45" s="1240"/>
      <c r="EJ45" s="1240"/>
      <c r="EK45" s="1240"/>
      <c r="EL45" s="1240"/>
      <c r="EM45" s="1240"/>
      <c r="EN45" s="1240"/>
      <c r="EO45" s="1240"/>
      <c r="EP45" s="1240"/>
      <c r="EQ45" s="1240"/>
      <c r="ER45" s="1240"/>
      <c r="ES45" s="1240"/>
      <c r="ET45" s="1240"/>
      <c r="EU45" s="1240"/>
      <c r="EV45" s="1240"/>
      <c r="EW45" s="1240"/>
      <c r="EX45" s="1240"/>
      <c r="EY45" s="1240"/>
      <c r="EZ45" s="1240"/>
      <c r="FA45" s="1240"/>
      <c r="FB45" s="1240"/>
      <c r="FC45" s="1240"/>
      <c r="FD45" s="1240"/>
      <c r="FE45" s="1240"/>
      <c r="FF45" s="1240"/>
      <c r="FG45" s="1240"/>
      <c r="FH45" s="1240"/>
      <c r="FI45" s="1240"/>
      <c r="FJ45" s="1240"/>
      <c r="FK45" s="1240"/>
      <c r="FL45" s="1240"/>
      <c r="FM45" s="1240"/>
      <c r="FN45" s="1240"/>
      <c r="FO45" s="1240"/>
      <c r="FP45" s="1240"/>
      <c r="FQ45" s="1240"/>
      <c r="FR45" s="1240"/>
      <c r="FS45" s="1240"/>
      <c r="FT45" s="1240"/>
      <c r="FU45" s="1240"/>
      <c r="FV45" s="1240"/>
      <c r="FW45" s="1240"/>
      <c r="FX45" s="1240"/>
      <c r="FY45" s="1240"/>
      <c r="FZ45" s="1240"/>
      <c r="GA45" s="1240"/>
      <c r="GB45" s="1240"/>
      <c r="GC45" s="1240"/>
      <c r="GD45" s="1240"/>
      <c r="GE45" s="1240"/>
      <c r="GF45" s="1240"/>
      <c r="GG45" s="1240"/>
      <c r="GH45" s="1240"/>
      <c r="GI45" s="1240"/>
      <c r="GJ45" s="1240"/>
      <c r="GK45" s="1240"/>
      <c r="GL45" s="1240"/>
      <c r="GM45" s="1240"/>
      <c r="GN45" s="1240"/>
      <c r="GO45" s="1240"/>
      <c r="GP45" s="1240"/>
      <c r="GQ45" s="1240"/>
      <c r="GR45" s="1240"/>
      <c r="GS45" s="1240"/>
      <c r="GT45" s="1240"/>
      <c r="GU45" s="1240"/>
      <c r="GV45" s="1240"/>
      <c r="GW45" s="1240"/>
      <c r="GX45" s="1240"/>
      <c r="GY45" s="1240"/>
      <c r="GZ45" s="1240"/>
      <c r="HA45" s="1240"/>
      <c r="HB45" s="1240"/>
      <c r="HC45" s="1240"/>
      <c r="HD45" s="1240"/>
      <c r="HE45" s="1240"/>
      <c r="HF45" s="1240"/>
      <c r="HG45" s="1240"/>
      <c r="HH45" s="1240"/>
      <c r="HI45" s="1240"/>
      <c r="HJ45" s="1240"/>
      <c r="HK45" s="1240"/>
      <c r="HL45" s="1240"/>
      <c r="HM45" s="1240"/>
      <c r="HN45" s="1240"/>
      <c r="HO45" s="1240"/>
      <c r="HP45" s="1240"/>
      <c r="HQ45" s="1240"/>
      <c r="HR45" s="1240"/>
      <c r="HS45" s="1240"/>
      <c r="HT45" s="1240"/>
      <c r="HU45" s="1240"/>
      <c r="HV45" s="1240"/>
      <c r="HW45" s="1240"/>
      <c r="HX45" s="1240"/>
      <c r="HY45" s="1240"/>
      <c r="HZ45" s="1240"/>
      <c r="IA45" s="1240"/>
      <c r="IB45" s="1240"/>
      <c r="IC45" s="1240"/>
      <c r="ID45" s="1240"/>
      <c r="IE45" s="1240"/>
      <c r="IF45" s="1240"/>
      <c r="IG45" s="1240"/>
      <c r="IH45" s="1240"/>
      <c r="II45" s="1240"/>
      <c r="IJ45" s="1240"/>
      <c r="IK45" s="1240"/>
      <c r="IL45" s="1240"/>
      <c r="IM45" s="1240"/>
      <c r="IN45" s="1240"/>
      <c r="IO45" s="1240"/>
      <c r="IP45" s="1240"/>
      <c r="IQ45" s="1240"/>
      <c r="IR45" s="1240"/>
      <c r="IS45" s="1240"/>
      <c r="IT45" s="1240"/>
      <c r="IU45" s="1240"/>
      <c r="IV45" s="1240"/>
      <c r="IW45" s="1240"/>
      <c r="IX45" s="1240"/>
      <c r="IY45" s="1240"/>
      <c r="IZ45" s="1240"/>
      <c r="JA45" s="1240"/>
      <c r="JB45" s="1240"/>
      <c r="JC45" s="1240"/>
      <c r="JD45" s="1240"/>
      <c r="JE45" s="1240"/>
      <c r="JF45" s="1240"/>
      <c r="JG45" s="1240"/>
      <c r="JH45" s="1240"/>
      <c r="JI45" s="1240"/>
      <c r="JJ45" s="1240"/>
      <c r="JK45" s="1240"/>
      <c r="JL45" s="1240"/>
      <c r="JM45" s="1240"/>
      <c r="JN45" s="1240"/>
      <c r="JO45" s="1240"/>
      <c r="JP45" s="1240"/>
      <c r="JQ45" s="1240"/>
      <c r="JR45" s="1240"/>
      <c r="JS45" s="1240"/>
      <c r="JT45" s="1240"/>
      <c r="JU45" s="1240"/>
      <c r="JV45" s="1240"/>
      <c r="JW45" s="1240"/>
      <c r="JX45" s="1240"/>
      <c r="JY45" s="1240"/>
      <c r="JZ45" s="1240"/>
      <c r="KA45" s="1240"/>
      <c r="KB45" s="1240"/>
      <c r="KC45" s="1240"/>
      <c r="KD45" s="1240"/>
      <c r="KE45" s="1240"/>
      <c r="KF45" s="1240"/>
      <c r="KG45" s="1240"/>
      <c r="KH45" s="1240"/>
      <c r="KI45" s="1240"/>
      <c r="KJ45" s="1240"/>
      <c r="KK45" s="1240"/>
      <c r="KL45" s="1240"/>
      <c r="KM45" s="1240"/>
      <c r="KN45" s="1240"/>
      <c r="KO45" s="1240"/>
      <c r="KP45" s="1240"/>
      <c r="KQ45" s="1240"/>
      <c r="KR45" s="1240"/>
      <c r="KS45" s="1240"/>
      <c r="KT45" s="1240"/>
      <c r="KU45" s="1240"/>
      <c r="KV45" s="1240"/>
      <c r="KW45" s="1240"/>
      <c r="KX45" s="1240"/>
      <c r="KY45" s="1240"/>
      <c r="KZ45" s="1240"/>
      <c r="LA45" s="1240"/>
      <c r="LB45" s="1240"/>
      <c r="LC45" s="1240"/>
      <c r="LD45" s="1240"/>
      <c r="LE45" s="1240"/>
      <c r="LF45" s="1240"/>
      <c r="LG45" s="1240"/>
      <c r="LH45" s="1240"/>
      <c r="LI45" s="1240"/>
      <c r="LJ45" s="1240"/>
      <c r="LK45" s="1240"/>
      <c r="LL45" s="1240"/>
      <c r="LM45" s="1240"/>
      <c r="LN45" s="1240"/>
      <c r="LO45" s="1240"/>
      <c r="LP45" s="1240"/>
      <c r="LQ45" s="1240"/>
      <c r="LR45" s="1240"/>
      <c r="LS45" s="1240"/>
      <c r="LT45" s="1240"/>
      <c r="LU45" s="1240"/>
      <c r="LV45" s="1240"/>
      <c r="LW45" s="1240"/>
      <c r="LX45" s="1240"/>
      <c r="LY45" s="1240"/>
      <c r="LZ45" s="1240"/>
      <c r="MA45" s="1240"/>
      <c r="MB45" s="1240"/>
      <c r="MC45" s="1240"/>
      <c r="MD45" s="1240"/>
      <c r="ME45" s="1240"/>
      <c r="MF45" s="1240"/>
      <c r="MG45" s="1240"/>
    </row>
    <row r="46" spans="1:345" s="1106" customFormat="1" x14ac:dyDescent="0.2">
      <c r="A46" s="1240"/>
      <c r="B46" s="1828"/>
      <c r="C46" s="1841"/>
      <c r="D46" s="1841"/>
      <c r="E46" s="1829"/>
      <c r="F46" s="1829"/>
      <c r="G46" s="1830"/>
      <c r="H46" s="1830"/>
      <c r="I46" s="1830"/>
      <c r="J46" s="1842"/>
      <c r="K46" s="1842"/>
      <c r="L46" s="1802" t="s">
        <v>1036</v>
      </c>
      <c r="M46" s="1794">
        <f>1*6</f>
        <v>6</v>
      </c>
      <c r="N46" s="1799" t="s">
        <v>138</v>
      </c>
      <c r="O46" s="1800">
        <v>0</v>
      </c>
      <c r="P46" s="1797">
        <f>M46*O46</f>
        <v>0</v>
      </c>
      <c r="Q46" s="1240"/>
      <c r="R46" s="1240"/>
      <c r="S46" s="1240"/>
      <c r="T46" s="1240"/>
      <c r="U46" s="1240"/>
      <c r="V46" s="1240"/>
      <c r="W46" s="1240"/>
      <c r="X46" s="1240"/>
      <c r="Y46" s="1240"/>
      <c r="Z46" s="1240"/>
      <c r="AA46" s="1240"/>
      <c r="AB46" s="1240"/>
      <c r="AC46" s="1240"/>
      <c r="AD46" s="1240"/>
      <c r="AE46" s="1240"/>
      <c r="AF46" s="1240"/>
      <c r="AG46" s="1240"/>
      <c r="AH46" s="1240"/>
      <c r="AI46" s="1240"/>
      <c r="AJ46" s="1240"/>
      <c r="AK46" s="1240"/>
      <c r="AL46" s="1240"/>
      <c r="AM46" s="1240"/>
      <c r="AN46" s="1240"/>
      <c r="AO46" s="1240"/>
      <c r="AP46" s="1240"/>
      <c r="AQ46" s="1240"/>
      <c r="AR46" s="1240"/>
      <c r="AS46" s="1240"/>
      <c r="AT46" s="1240"/>
      <c r="AU46" s="1240"/>
      <c r="AV46" s="1240"/>
      <c r="AW46" s="1240"/>
      <c r="AX46" s="1240"/>
      <c r="AY46" s="1240"/>
      <c r="AZ46" s="1240"/>
      <c r="BA46" s="1240"/>
      <c r="BB46" s="1240"/>
      <c r="BC46" s="1240"/>
      <c r="BD46" s="1240"/>
      <c r="BE46" s="1240"/>
      <c r="BF46" s="1240"/>
      <c r="BG46" s="1240"/>
      <c r="BH46" s="1240"/>
      <c r="BI46" s="1240"/>
      <c r="BJ46" s="1240"/>
      <c r="BK46" s="1240"/>
      <c r="BL46" s="1240"/>
      <c r="BM46" s="1240"/>
      <c r="BN46" s="1240"/>
      <c r="BO46" s="1240"/>
      <c r="BP46" s="1240"/>
      <c r="BQ46" s="1240"/>
      <c r="BR46" s="1240"/>
      <c r="BS46" s="1240"/>
      <c r="BT46" s="1240"/>
      <c r="BU46" s="1240"/>
      <c r="BV46" s="1240"/>
      <c r="BW46" s="1240"/>
      <c r="BX46" s="1240"/>
      <c r="BY46" s="1240"/>
      <c r="BZ46" s="1240"/>
      <c r="CA46" s="1240"/>
      <c r="CB46" s="1240"/>
      <c r="CC46" s="1240"/>
      <c r="CD46" s="1240"/>
      <c r="CE46" s="1240"/>
      <c r="CF46" s="1240"/>
      <c r="CG46" s="1240"/>
      <c r="CH46" s="1240"/>
      <c r="CI46" s="1240"/>
      <c r="CJ46" s="1240"/>
      <c r="CK46" s="1240"/>
      <c r="CL46" s="1240"/>
      <c r="CM46" s="1240"/>
      <c r="CN46" s="1240"/>
      <c r="CO46" s="1240"/>
      <c r="CP46" s="1240"/>
      <c r="CQ46" s="1240"/>
      <c r="CR46" s="1240"/>
      <c r="CS46" s="1240"/>
      <c r="CT46" s="1240"/>
      <c r="CU46" s="1240"/>
      <c r="CV46" s="1240"/>
      <c r="CW46" s="1240"/>
      <c r="CX46" s="1240"/>
      <c r="CY46" s="1240"/>
      <c r="CZ46" s="1240"/>
      <c r="DA46" s="1240"/>
      <c r="DB46" s="1240"/>
      <c r="DC46" s="1240"/>
      <c r="DD46" s="1240"/>
      <c r="DE46" s="1240"/>
      <c r="DF46" s="1240"/>
      <c r="DG46" s="1240"/>
      <c r="DH46" s="1240"/>
      <c r="DI46" s="1240"/>
      <c r="DJ46" s="1240"/>
      <c r="DK46" s="1240"/>
      <c r="DL46" s="1240"/>
      <c r="DM46" s="1240"/>
      <c r="DN46" s="1240"/>
      <c r="DO46" s="1240"/>
      <c r="DP46" s="1240"/>
      <c r="DQ46" s="1240"/>
      <c r="DR46" s="1240"/>
      <c r="DS46" s="1240"/>
      <c r="DT46" s="1240"/>
      <c r="DU46" s="1240"/>
      <c r="DV46" s="1240"/>
      <c r="DW46" s="1240"/>
      <c r="DX46" s="1240"/>
      <c r="DY46" s="1240"/>
      <c r="DZ46" s="1240"/>
      <c r="EA46" s="1240"/>
      <c r="EB46" s="1240"/>
      <c r="EC46" s="1240"/>
      <c r="ED46" s="1240"/>
      <c r="EE46" s="1240"/>
      <c r="EF46" s="1240"/>
      <c r="EG46" s="1240"/>
      <c r="EH46" s="1240"/>
      <c r="EI46" s="1240"/>
      <c r="EJ46" s="1240"/>
      <c r="EK46" s="1240"/>
      <c r="EL46" s="1240"/>
      <c r="EM46" s="1240"/>
      <c r="EN46" s="1240"/>
      <c r="EO46" s="1240"/>
      <c r="EP46" s="1240"/>
      <c r="EQ46" s="1240"/>
      <c r="ER46" s="1240"/>
      <c r="ES46" s="1240"/>
      <c r="ET46" s="1240"/>
      <c r="EU46" s="1240"/>
      <c r="EV46" s="1240"/>
      <c r="EW46" s="1240"/>
      <c r="EX46" s="1240"/>
      <c r="EY46" s="1240"/>
      <c r="EZ46" s="1240"/>
      <c r="FA46" s="1240"/>
      <c r="FB46" s="1240"/>
      <c r="FC46" s="1240"/>
      <c r="FD46" s="1240"/>
      <c r="FE46" s="1240"/>
      <c r="FF46" s="1240"/>
      <c r="FG46" s="1240"/>
      <c r="FH46" s="1240"/>
      <c r="FI46" s="1240"/>
      <c r="FJ46" s="1240"/>
      <c r="FK46" s="1240"/>
      <c r="FL46" s="1240"/>
      <c r="FM46" s="1240"/>
      <c r="FN46" s="1240"/>
      <c r="FO46" s="1240"/>
      <c r="FP46" s="1240"/>
      <c r="FQ46" s="1240"/>
      <c r="FR46" s="1240"/>
      <c r="FS46" s="1240"/>
      <c r="FT46" s="1240"/>
      <c r="FU46" s="1240"/>
      <c r="FV46" s="1240"/>
      <c r="FW46" s="1240"/>
      <c r="FX46" s="1240"/>
      <c r="FY46" s="1240"/>
      <c r="FZ46" s="1240"/>
      <c r="GA46" s="1240"/>
      <c r="GB46" s="1240"/>
      <c r="GC46" s="1240"/>
      <c r="GD46" s="1240"/>
      <c r="GE46" s="1240"/>
      <c r="GF46" s="1240"/>
      <c r="GG46" s="1240"/>
      <c r="GH46" s="1240"/>
      <c r="GI46" s="1240"/>
      <c r="GJ46" s="1240"/>
      <c r="GK46" s="1240"/>
      <c r="GL46" s="1240"/>
      <c r="GM46" s="1240"/>
      <c r="GN46" s="1240"/>
      <c r="GO46" s="1240"/>
      <c r="GP46" s="1240"/>
      <c r="GQ46" s="1240"/>
      <c r="GR46" s="1240"/>
      <c r="GS46" s="1240"/>
      <c r="GT46" s="1240"/>
      <c r="GU46" s="1240"/>
      <c r="GV46" s="1240"/>
      <c r="GW46" s="1240"/>
      <c r="GX46" s="1240"/>
      <c r="GY46" s="1240"/>
      <c r="GZ46" s="1240"/>
      <c r="HA46" s="1240"/>
      <c r="HB46" s="1240"/>
      <c r="HC46" s="1240"/>
      <c r="HD46" s="1240"/>
      <c r="HE46" s="1240"/>
      <c r="HF46" s="1240"/>
      <c r="HG46" s="1240"/>
      <c r="HH46" s="1240"/>
      <c r="HI46" s="1240"/>
      <c r="HJ46" s="1240"/>
      <c r="HK46" s="1240"/>
      <c r="HL46" s="1240"/>
      <c r="HM46" s="1240"/>
      <c r="HN46" s="1240"/>
      <c r="HO46" s="1240"/>
      <c r="HP46" s="1240"/>
      <c r="HQ46" s="1240"/>
      <c r="HR46" s="1240"/>
      <c r="HS46" s="1240"/>
      <c r="HT46" s="1240"/>
      <c r="HU46" s="1240"/>
      <c r="HV46" s="1240"/>
      <c r="HW46" s="1240"/>
      <c r="HX46" s="1240"/>
      <c r="HY46" s="1240"/>
      <c r="HZ46" s="1240"/>
      <c r="IA46" s="1240"/>
      <c r="IB46" s="1240"/>
      <c r="IC46" s="1240"/>
      <c r="ID46" s="1240"/>
      <c r="IE46" s="1240"/>
      <c r="IF46" s="1240"/>
      <c r="IG46" s="1240"/>
      <c r="IH46" s="1240"/>
      <c r="II46" s="1240"/>
      <c r="IJ46" s="1240"/>
      <c r="IK46" s="1240"/>
      <c r="IL46" s="1240"/>
      <c r="IM46" s="1240"/>
      <c r="IN46" s="1240"/>
      <c r="IO46" s="1240"/>
      <c r="IP46" s="1240"/>
      <c r="IQ46" s="1240"/>
      <c r="IR46" s="1240"/>
      <c r="IS46" s="1240"/>
      <c r="IT46" s="1240"/>
      <c r="IU46" s="1240"/>
      <c r="IV46" s="1240"/>
      <c r="IW46" s="1240"/>
      <c r="IX46" s="1240"/>
      <c r="IY46" s="1240"/>
      <c r="IZ46" s="1240"/>
      <c r="JA46" s="1240"/>
      <c r="JB46" s="1240"/>
      <c r="JC46" s="1240"/>
      <c r="JD46" s="1240"/>
      <c r="JE46" s="1240"/>
      <c r="JF46" s="1240"/>
      <c r="JG46" s="1240"/>
      <c r="JH46" s="1240"/>
      <c r="JI46" s="1240"/>
      <c r="JJ46" s="1240"/>
      <c r="JK46" s="1240"/>
      <c r="JL46" s="1240"/>
      <c r="JM46" s="1240"/>
      <c r="JN46" s="1240"/>
      <c r="JO46" s="1240"/>
      <c r="JP46" s="1240"/>
      <c r="JQ46" s="1240"/>
      <c r="JR46" s="1240"/>
      <c r="JS46" s="1240"/>
      <c r="JT46" s="1240"/>
      <c r="JU46" s="1240"/>
      <c r="JV46" s="1240"/>
      <c r="JW46" s="1240"/>
      <c r="JX46" s="1240"/>
      <c r="JY46" s="1240"/>
      <c r="JZ46" s="1240"/>
      <c r="KA46" s="1240"/>
      <c r="KB46" s="1240"/>
      <c r="KC46" s="1240"/>
      <c r="KD46" s="1240"/>
      <c r="KE46" s="1240"/>
      <c r="KF46" s="1240"/>
      <c r="KG46" s="1240"/>
      <c r="KH46" s="1240"/>
      <c r="KI46" s="1240"/>
      <c r="KJ46" s="1240"/>
      <c r="KK46" s="1240"/>
      <c r="KL46" s="1240"/>
      <c r="KM46" s="1240"/>
      <c r="KN46" s="1240"/>
      <c r="KO46" s="1240"/>
      <c r="KP46" s="1240"/>
      <c r="KQ46" s="1240"/>
      <c r="KR46" s="1240"/>
      <c r="KS46" s="1240"/>
      <c r="KT46" s="1240"/>
      <c r="KU46" s="1240"/>
      <c r="KV46" s="1240"/>
      <c r="KW46" s="1240"/>
      <c r="KX46" s="1240"/>
      <c r="KY46" s="1240"/>
      <c r="KZ46" s="1240"/>
      <c r="LA46" s="1240"/>
      <c r="LB46" s="1240"/>
      <c r="LC46" s="1240"/>
      <c r="LD46" s="1240"/>
      <c r="LE46" s="1240"/>
      <c r="LF46" s="1240"/>
      <c r="LG46" s="1240"/>
      <c r="LH46" s="1240"/>
      <c r="LI46" s="1240"/>
      <c r="LJ46" s="1240"/>
      <c r="LK46" s="1240"/>
      <c r="LL46" s="1240"/>
      <c r="LM46" s="1240"/>
      <c r="LN46" s="1240"/>
      <c r="LO46" s="1240"/>
      <c r="LP46" s="1240"/>
      <c r="LQ46" s="1240"/>
      <c r="LR46" s="1240"/>
      <c r="LS46" s="1240"/>
      <c r="LT46" s="1240"/>
      <c r="LU46" s="1240"/>
      <c r="LV46" s="1240"/>
      <c r="LW46" s="1240"/>
      <c r="LX46" s="1240"/>
      <c r="LY46" s="1240"/>
      <c r="LZ46" s="1240"/>
      <c r="MA46" s="1240"/>
      <c r="MB46" s="1240"/>
      <c r="MC46" s="1240"/>
      <c r="MD46" s="1240"/>
      <c r="ME46" s="1240"/>
      <c r="MF46" s="1240"/>
      <c r="MG46" s="1240"/>
    </row>
    <row r="47" spans="1:345" s="1106" customFormat="1" x14ac:dyDescent="0.2">
      <c r="A47" s="1240"/>
      <c r="B47" s="1828"/>
      <c r="C47" s="1841"/>
      <c r="D47" s="1841"/>
      <c r="E47" s="1829"/>
      <c r="F47" s="1829"/>
      <c r="G47" s="1830"/>
      <c r="H47" s="1830"/>
      <c r="I47" s="1830"/>
      <c r="J47" s="1842"/>
      <c r="K47" s="1842"/>
      <c r="L47" s="1802" t="s">
        <v>1024</v>
      </c>
      <c r="M47" s="1794">
        <v>6</v>
      </c>
      <c r="N47" s="1799" t="s">
        <v>138</v>
      </c>
      <c r="O47" s="1800">
        <v>0</v>
      </c>
      <c r="P47" s="1797">
        <f>O47*M47</f>
        <v>0</v>
      </c>
      <c r="Q47" s="1240"/>
      <c r="R47" s="1240"/>
      <c r="S47" s="1240"/>
      <c r="T47" s="1240"/>
      <c r="U47" s="1240"/>
      <c r="V47" s="1240"/>
      <c r="W47" s="1240"/>
      <c r="X47" s="1240"/>
      <c r="Y47" s="1240"/>
      <c r="Z47" s="1240"/>
      <c r="AA47" s="1240"/>
      <c r="AB47" s="1240"/>
      <c r="AC47" s="1240"/>
      <c r="AD47" s="1240"/>
      <c r="AE47" s="1240"/>
      <c r="AF47" s="1240"/>
      <c r="AG47" s="1240"/>
      <c r="AH47" s="1240"/>
      <c r="AI47" s="1240"/>
      <c r="AJ47" s="1240"/>
      <c r="AK47" s="1240"/>
      <c r="AL47" s="1240"/>
      <c r="AM47" s="1240"/>
      <c r="AN47" s="1240"/>
      <c r="AO47" s="1240"/>
      <c r="AP47" s="1240"/>
      <c r="AQ47" s="1240"/>
      <c r="AR47" s="1240"/>
      <c r="AS47" s="1240"/>
      <c r="AT47" s="1240"/>
      <c r="AU47" s="1240"/>
      <c r="AV47" s="1240"/>
      <c r="AW47" s="1240"/>
      <c r="AX47" s="1240"/>
      <c r="AY47" s="1240"/>
      <c r="AZ47" s="1240"/>
      <c r="BA47" s="1240"/>
      <c r="BB47" s="1240"/>
      <c r="BC47" s="1240"/>
      <c r="BD47" s="1240"/>
      <c r="BE47" s="1240"/>
      <c r="BF47" s="1240"/>
      <c r="BG47" s="1240"/>
      <c r="BH47" s="1240"/>
      <c r="BI47" s="1240"/>
      <c r="BJ47" s="1240"/>
      <c r="BK47" s="1240"/>
      <c r="BL47" s="1240"/>
      <c r="BM47" s="1240"/>
      <c r="BN47" s="1240"/>
      <c r="BO47" s="1240"/>
      <c r="BP47" s="1240"/>
      <c r="BQ47" s="1240"/>
      <c r="BR47" s="1240"/>
      <c r="BS47" s="1240"/>
      <c r="BT47" s="1240"/>
      <c r="BU47" s="1240"/>
      <c r="BV47" s="1240"/>
      <c r="BW47" s="1240"/>
      <c r="BX47" s="1240"/>
      <c r="BY47" s="1240"/>
      <c r="BZ47" s="1240"/>
      <c r="CA47" s="1240"/>
      <c r="CB47" s="1240"/>
      <c r="CC47" s="1240"/>
      <c r="CD47" s="1240"/>
      <c r="CE47" s="1240"/>
      <c r="CF47" s="1240"/>
      <c r="CG47" s="1240"/>
      <c r="CH47" s="1240"/>
      <c r="CI47" s="1240"/>
      <c r="CJ47" s="1240"/>
      <c r="CK47" s="1240"/>
      <c r="CL47" s="1240"/>
      <c r="CM47" s="1240"/>
      <c r="CN47" s="1240"/>
      <c r="CO47" s="1240"/>
      <c r="CP47" s="1240"/>
      <c r="CQ47" s="1240"/>
      <c r="CR47" s="1240"/>
      <c r="CS47" s="1240"/>
      <c r="CT47" s="1240"/>
      <c r="CU47" s="1240"/>
      <c r="CV47" s="1240"/>
      <c r="CW47" s="1240"/>
      <c r="CX47" s="1240"/>
      <c r="CY47" s="1240"/>
      <c r="CZ47" s="1240"/>
      <c r="DA47" s="1240"/>
      <c r="DB47" s="1240"/>
      <c r="DC47" s="1240"/>
      <c r="DD47" s="1240"/>
      <c r="DE47" s="1240"/>
      <c r="DF47" s="1240"/>
      <c r="DG47" s="1240"/>
      <c r="DH47" s="1240"/>
      <c r="DI47" s="1240"/>
      <c r="DJ47" s="1240"/>
      <c r="DK47" s="1240"/>
      <c r="DL47" s="1240"/>
      <c r="DM47" s="1240"/>
      <c r="DN47" s="1240"/>
      <c r="DO47" s="1240"/>
      <c r="DP47" s="1240"/>
      <c r="DQ47" s="1240"/>
      <c r="DR47" s="1240"/>
      <c r="DS47" s="1240"/>
      <c r="DT47" s="1240"/>
      <c r="DU47" s="1240"/>
      <c r="DV47" s="1240"/>
      <c r="DW47" s="1240"/>
      <c r="DX47" s="1240"/>
      <c r="DY47" s="1240"/>
      <c r="DZ47" s="1240"/>
      <c r="EA47" s="1240"/>
      <c r="EB47" s="1240"/>
      <c r="EC47" s="1240"/>
      <c r="ED47" s="1240"/>
      <c r="EE47" s="1240"/>
      <c r="EF47" s="1240"/>
      <c r="EG47" s="1240"/>
      <c r="EH47" s="1240"/>
      <c r="EI47" s="1240"/>
      <c r="EJ47" s="1240"/>
      <c r="EK47" s="1240"/>
      <c r="EL47" s="1240"/>
      <c r="EM47" s="1240"/>
      <c r="EN47" s="1240"/>
      <c r="EO47" s="1240"/>
      <c r="EP47" s="1240"/>
      <c r="EQ47" s="1240"/>
      <c r="ER47" s="1240"/>
      <c r="ES47" s="1240"/>
      <c r="ET47" s="1240"/>
      <c r="EU47" s="1240"/>
      <c r="EV47" s="1240"/>
      <c r="EW47" s="1240"/>
      <c r="EX47" s="1240"/>
      <c r="EY47" s="1240"/>
      <c r="EZ47" s="1240"/>
      <c r="FA47" s="1240"/>
      <c r="FB47" s="1240"/>
      <c r="FC47" s="1240"/>
      <c r="FD47" s="1240"/>
      <c r="FE47" s="1240"/>
      <c r="FF47" s="1240"/>
      <c r="FG47" s="1240"/>
      <c r="FH47" s="1240"/>
      <c r="FI47" s="1240"/>
      <c r="FJ47" s="1240"/>
      <c r="FK47" s="1240"/>
      <c r="FL47" s="1240"/>
      <c r="FM47" s="1240"/>
      <c r="FN47" s="1240"/>
      <c r="FO47" s="1240"/>
      <c r="FP47" s="1240"/>
      <c r="FQ47" s="1240"/>
      <c r="FR47" s="1240"/>
      <c r="FS47" s="1240"/>
      <c r="FT47" s="1240"/>
      <c r="FU47" s="1240"/>
      <c r="FV47" s="1240"/>
      <c r="FW47" s="1240"/>
      <c r="FX47" s="1240"/>
      <c r="FY47" s="1240"/>
      <c r="FZ47" s="1240"/>
      <c r="GA47" s="1240"/>
      <c r="GB47" s="1240"/>
      <c r="GC47" s="1240"/>
      <c r="GD47" s="1240"/>
      <c r="GE47" s="1240"/>
      <c r="GF47" s="1240"/>
      <c r="GG47" s="1240"/>
      <c r="GH47" s="1240"/>
      <c r="GI47" s="1240"/>
      <c r="GJ47" s="1240"/>
      <c r="GK47" s="1240"/>
      <c r="GL47" s="1240"/>
      <c r="GM47" s="1240"/>
      <c r="GN47" s="1240"/>
      <c r="GO47" s="1240"/>
      <c r="GP47" s="1240"/>
      <c r="GQ47" s="1240"/>
      <c r="GR47" s="1240"/>
      <c r="GS47" s="1240"/>
      <c r="GT47" s="1240"/>
      <c r="GU47" s="1240"/>
      <c r="GV47" s="1240"/>
      <c r="GW47" s="1240"/>
      <c r="GX47" s="1240"/>
      <c r="GY47" s="1240"/>
      <c r="GZ47" s="1240"/>
      <c r="HA47" s="1240"/>
      <c r="HB47" s="1240"/>
      <c r="HC47" s="1240"/>
      <c r="HD47" s="1240"/>
      <c r="HE47" s="1240"/>
      <c r="HF47" s="1240"/>
      <c r="HG47" s="1240"/>
      <c r="HH47" s="1240"/>
      <c r="HI47" s="1240"/>
      <c r="HJ47" s="1240"/>
      <c r="HK47" s="1240"/>
      <c r="HL47" s="1240"/>
      <c r="HM47" s="1240"/>
      <c r="HN47" s="1240"/>
      <c r="HO47" s="1240"/>
      <c r="HP47" s="1240"/>
      <c r="HQ47" s="1240"/>
      <c r="HR47" s="1240"/>
      <c r="HS47" s="1240"/>
      <c r="HT47" s="1240"/>
      <c r="HU47" s="1240"/>
      <c r="HV47" s="1240"/>
      <c r="HW47" s="1240"/>
      <c r="HX47" s="1240"/>
      <c r="HY47" s="1240"/>
      <c r="HZ47" s="1240"/>
      <c r="IA47" s="1240"/>
      <c r="IB47" s="1240"/>
      <c r="IC47" s="1240"/>
      <c r="ID47" s="1240"/>
      <c r="IE47" s="1240"/>
      <c r="IF47" s="1240"/>
      <c r="IG47" s="1240"/>
      <c r="IH47" s="1240"/>
      <c r="II47" s="1240"/>
      <c r="IJ47" s="1240"/>
      <c r="IK47" s="1240"/>
      <c r="IL47" s="1240"/>
      <c r="IM47" s="1240"/>
      <c r="IN47" s="1240"/>
      <c r="IO47" s="1240"/>
      <c r="IP47" s="1240"/>
      <c r="IQ47" s="1240"/>
      <c r="IR47" s="1240"/>
      <c r="IS47" s="1240"/>
      <c r="IT47" s="1240"/>
      <c r="IU47" s="1240"/>
      <c r="IV47" s="1240"/>
      <c r="IW47" s="1240"/>
      <c r="IX47" s="1240"/>
      <c r="IY47" s="1240"/>
      <c r="IZ47" s="1240"/>
      <c r="JA47" s="1240"/>
      <c r="JB47" s="1240"/>
      <c r="JC47" s="1240"/>
      <c r="JD47" s="1240"/>
      <c r="JE47" s="1240"/>
      <c r="JF47" s="1240"/>
      <c r="JG47" s="1240"/>
      <c r="JH47" s="1240"/>
      <c r="JI47" s="1240"/>
      <c r="JJ47" s="1240"/>
      <c r="JK47" s="1240"/>
      <c r="JL47" s="1240"/>
      <c r="JM47" s="1240"/>
      <c r="JN47" s="1240"/>
      <c r="JO47" s="1240"/>
      <c r="JP47" s="1240"/>
      <c r="JQ47" s="1240"/>
      <c r="JR47" s="1240"/>
      <c r="JS47" s="1240"/>
      <c r="JT47" s="1240"/>
      <c r="JU47" s="1240"/>
      <c r="JV47" s="1240"/>
      <c r="JW47" s="1240"/>
      <c r="JX47" s="1240"/>
      <c r="JY47" s="1240"/>
      <c r="JZ47" s="1240"/>
      <c r="KA47" s="1240"/>
      <c r="KB47" s="1240"/>
      <c r="KC47" s="1240"/>
      <c r="KD47" s="1240"/>
      <c r="KE47" s="1240"/>
      <c r="KF47" s="1240"/>
      <c r="KG47" s="1240"/>
      <c r="KH47" s="1240"/>
      <c r="KI47" s="1240"/>
      <c r="KJ47" s="1240"/>
      <c r="KK47" s="1240"/>
      <c r="KL47" s="1240"/>
      <c r="KM47" s="1240"/>
      <c r="KN47" s="1240"/>
      <c r="KO47" s="1240"/>
      <c r="KP47" s="1240"/>
      <c r="KQ47" s="1240"/>
      <c r="KR47" s="1240"/>
      <c r="KS47" s="1240"/>
      <c r="KT47" s="1240"/>
      <c r="KU47" s="1240"/>
      <c r="KV47" s="1240"/>
      <c r="KW47" s="1240"/>
      <c r="KX47" s="1240"/>
      <c r="KY47" s="1240"/>
      <c r="KZ47" s="1240"/>
      <c r="LA47" s="1240"/>
      <c r="LB47" s="1240"/>
      <c r="LC47" s="1240"/>
      <c r="LD47" s="1240"/>
      <c r="LE47" s="1240"/>
      <c r="LF47" s="1240"/>
      <c r="LG47" s="1240"/>
      <c r="LH47" s="1240"/>
      <c r="LI47" s="1240"/>
      <c r="LJ47" s="1240"/>
      <c r="LK47" s="1240"/>
      <c r="LL47" s="1240"/>
      <c r="LM47" s="1240"/>
      <c r="LN47" s="1240"/>
      <c r="LO47" s="1240"/>
      <c r="LP47" s="1240"/>
      <c r="LQ47" s="1240"/>
      <c r="LR47" s="1240"/>
      <c r="LS47" s="1240"/>
      <c r="LT47" s="1240"/>
      <c r="LU47" s="1240"/>
      <c r="LV47" s="1240"/>
      <c r="LW47" s="1240"/>
      <c r="LX47" s="1240"/>
      <c r="LY47" s="1240"/>
      <c r="LZ47" s="1240"/>
      <c r="MA47" s="1240"/>
      <c r="MB47" s="1240"/>
      <c r="MC47" s="1240"/>
      <c r="MD47" s="1240"/>
      <c r="ME47" s="1240"/>
      <c r="MF47" s="1240"/>
      <c r="MG47" s="1240"/>
    </row>
    <row r="48" spans="1:345" s="1106" customFormat="1" x14ac:dyDescent="0.2">
      <c r="A48" s="1240"/>
      <c r="B48" s="1828"/>
      <c r="C48" s="1841"/>
      <c r="D48" s="1841"/>
      <c r="E48" s="1829"/>
      <c r="F48" s="1829"/>
      <c r="G48" s="1830"/>
      <c r="H48" s="1830"/>
      <c r="I48" s="1830"/>
      <c r="J48" s="1842"/>
      <c r="K48" s="1842"/>
      <c r="L48" s="1802" t="s">
        <v>1037</v>
      </c>
      <c r="M48" s="1794">
        <v>6</v>
      </c>
      <c r="N48" s="1799" t="s">
        <v>138</v>
      </c>
      <c r="O48" s="1800">
        <v>0</v>
      </c>
      <c r="P48" s="1797">
        <f>O48*M48</f>
        <v>0</v>
      </c>
      <c r="Q48" s="1240"/>
      <c r="R48" s="1240"/>
      <c r="S48" s="1240"/>
      <c r="T48" s="1240"/>
      <c r="U48" s="1240"/>
      <c r="V48" s="1240"/>
      <c r="W48" s="1240"/>
      <c r="X48" s="1240"/>
      <c r="Y48" s="1240"/>
      <c r="Z48" s="1240"/>
      <c r="AA48" s="1240"/>
      <c r="AB48" s="1240"/>
      <c r="AC48" s="1240"/>
      <c r="AD48" s="1240"/>
      <c r="AE48" s="1240"/>
      <c r="AF48" s="1240"/>
      <c r="AG48" s="1240"/>
      <c r="AH48" s="1240"/>
      <c r="AI48" s="1240"/>
      <c r="AJ48" s="1240"/>
      <c r="AK48" s="1240"/>
      <c r="AL48" s="1240"/>
      <c r="AM48" s="1240"/>
      <c r="AN48" s="1240"/>
      <c r="AO48" s="1240"/>
      <c r="AP48" s="1240"/>
      <c r="AQ48" s="1240"/>
      <c r="AR48" s="1240"/>
      <c r="AS48" s="1240"/>
      <c r="AT48" s="1240"/>
      <c r="AU48" s="1240"/>
      <c r="AV48" s="1240"/>
      <c r="AW48" s="1240"/>
      <c r="AX48" s="1240"/>
      <c r="AY48" s="1240"/>
      <c r="AZ48" s="1240"/>
      <c r="BA48" s="1240"/>
      <c r="BB48" s="1240"/>
      <c r="BC48" s="1240"/>
      <c r="BD48" s="1240"/>
      <c r="BE48" s="1240"/>
      <c r="BF48" s="1240"/>
      <c r="BG48" s="1240"/>
      <c r="BH48" s="1240"/>
      <c r="BI48" s="1240"/>
      <c r="BJ48" s="1240"/>
      <c r="BK48" s="1240"/>
      <c r="BL48" s="1240"/>
      <c r="BM48" s="1240"/>
      <c r="BN48" s="1240"/>
      <c r="BO48" s="1240"/>
      <c r="BP48" s="1240"/>
      <c r="BQ48" s="1240"/>
      <c r="BR48" s="1240"/>
      <c r="BS48" s="1240"/>
      <c r="BT48" s="1240"/>
      <c r="BU48" s="1240"/>
      <c r="BV48" s="1240"/>
      <c r="BW48" s="1240"/>
      <c r="BX48" s="1240"/>
      <c r="BY48" s="1240"/>
      <c r="BZ48" s="1240"/>
      <c r="CA48" s="1240"/>
      <c r="CB48" s="1240"/>
      <c r="CC48" s="1240"/>
      <c r="CD48" s="1240"/>
      <c r="CE48" s="1240"/>
      <c r="CF48" s="1240"/>
      <c r="CG48" s="1240"/>
      <c r="CH48" s="1240"/>
      <c r="CI48" s="1240"/>
      <c r="CJ48" s="1240"/>
      <c r="CK48" s="1240"/>
      <c r="CL48" s="1240"/>
      <c r="CM48" s="1240"/>
      <c r="CN48" s="1240"/>
      <c r="CO48" s="1240"/>
      <c r="CP48" s="1240"/>
      <c r="CQ48" s="1240"/>
      <c r="CR48" s="1240"/>
      <c r="CS48" s="1240"/>
      <c r="CT48" s="1240"/>
      <c r="CU48" s="1240"/>
      <c r="CV48" s="1240"/>
      <c r="CW48" s="1240"/>
      <c r="CX48" s="1240"/>
      <c r="CY48" s="1240"/>
      <c r="CZ48" s="1240"/>
      <c r="DA48" s="1240"/>
      <c r="DB48" s="1240"/>
      <c r="DC48" s="1240"/>
      <c r="DD48" s="1240"/>
      <c r="DE48" s="1240"/>
      <c r="DF48" s="1240"/>
      <c r="DG48" s="1240"/>
      <c r="DH48" s="1240"/>
      <c r="DI48" s="1240"/>
      <c r="DJ48" s="1240"/>
      <c r="DK48" s="1240"/>
      <c r="DL48" s="1240"/>
      <c r="DM48" s="1240"/>
      <c r="DN48" s="1240"/>
      <c r="DO48" s="1240"/>
      <c r="DP48" s="1240"/>
      <c r="DQ48" s="1240"/>
      <c r="DR48" s="1240"/>
      <c r="DS48" s="1240"/>
      <c r="DT48" s="1240"/>
      <c r="DU48" s="1240"/>
      <c r="DV48" s="1240"/>
      <c r="DW48" s="1240"/>
      <c r="DX48" s="1240"/>
      <c r="DY48" s="1240"/>
      <c r="DZ48" s="1240"/>
      <c r="EA48" s="1240"/>
      <c r="EB48" s="1240"/>
      <c r="EC48" s="1240"/>
      <c r="ED48" s="1240"/>
      <c r="EE48" s="1240"/>
      <c r="EF48" s="1240"/>
      <c r="EG48" s="1240"/>
      <c r="EH48" s="1240"/>
      <c r="EI48" s="1240"/>
      <c r="EJ48" s="1240"/>
      <c r="EK48" s="1240"/>
      <c r="EL48" s="1240"/>
      <c r="EM48" s="1240"/>
      <c r="EN48" s="1240"/>
      <c r="EO48" s="1240"/>
      <c r="EP48" s="1240"/>
      <c r="EQ48" s="1240"/>
      <c r="ER48" s="1240"/>
      <c r="ES48" s="1240"/>
      <c r="ET48" s="1240"/>
      <c r="EU48" s="1240"/>
      <c r="EV48" s="1240"/>
      <c r="EW48" s="1240"/>
      <c r="EX48" s="1240"/>
      <c r="EY48" s="1240"/>
      <c r="EZ48" s="1240"/>
      <c r="FA48" s="1240"/>
      <c r="FB48" s="1240"/>
      <c r="FC48" s="1240"/>
      <c r="FD48" s="1240"/>
      <c r="FE48" s="1240"/>
      <c r="FF48" s="1240"/>
      <c r="FG48" s="1240"/>
      <c r="FH48" s="1240"/>
      <c r="FI48" s="1240"/>
      <c r="FJ48" s="1240"/>
      <c r="FK48" s="1240"/>
      <c r="FL48" s="1240"/>
      <c r="FM48" s="1240"/>
      <c r="FN48" s="1240"/>
      <c r="FO48" s="1240"/>
      <c r="FP48" s="1240"/>
      <c r="FQ48" s="1240"/>
      <c r="FR48" s="1240"/>
      <c r="FS48" s="1240"/>
      <c r="FT48" s="1240"/>
      <c r="FU48" s="1240"/>
      <c r="FV48" s="1240"/>
      <c r="FW48" s="1240"/>
      <c r="FX48" s="1240"/>
      <c r="FY48" s="1240"/>
      <c r="FZ48" s="1240"/>
      <c r="GA48" s="1240"/>
      <c r="GB48" s="1240"/>
      <c r="GC48" s="1240"/>
      <c r="GD48" s="1240"/>
      <c r="GE48" s="1240"/>
      <c r="GF48" s="1240"/>
      <c r="GG48" s="1240"/>
      <c r="GH48" s="1240"/>
      <c r="GI48" s="1240"/>
      <c r="GJ48" s="1240"/>
      <c r="GK48" s="1240"/>
      <c r="GL48" s="1240"/>
      <c r="GM48" s="1240"/>
      <c r="GN48" s="1240"/>
      <c r="GO48" s="1240"/>
      <c r="GP48" s="1240"/>
      <c r="GQ48" s="1240"/>
      <c r="GR48" s="1240"/>
      <c r="GS48" s="1240"/>
      <c r="GT48" s="1240"/>
      <c r="GU48" s="1240"/>
      <c r="GV48" s="1240"/>
      <c r="GW48" s="1240"/>
      <c r="GX48" s="1240"/>
      <c r="GY48" s="1240"/>
      <c r="GZ48" s="1240"/>
      <c r="HA48" s="1240"/>
      <c r="HB48" s="1240"/>
      <c r="HC48" s="1240"/>
      <c r="HD48" s="1240"/>
      <c r="HE48" s="1240"/>
      <c r="HF48" s="1240"/>
      <c r="HG48" s="1240"/>
      <c r="HH48" s="1240"/>
      <c r="HI48" s="1240"/>
      <c r="HJ48" s="1240"/>
      <c r="HK48" s="1240"/>
      <c r="HL48" s="1240"/>
      <c r="HM48" s="1240"/>
      <c r="HN48" s="1240"/>
      <c r="HO48" s="1240"/>
      <c r="HP48" s="1240"/>
      <c r="HQ48" s="1240"/>
      <c r="HR48" s="1240"/>
      <c r="HS48" s="1240"/>
      <c r="HT48" s="1240"/>
      <c r="HU48" s="1240"/>
      <c r="HV48" s="1240"/>
      <c r="HW48" s="1240"/>
      <c r="HX48" s="1240"/>
      <c r="HY48" s="1240"/>
      <c r="HZ48" s="1240"/>
      <c r="IA48" s="1240"/>
      <c r="IB48" s="1240"/>
      <c r="IC48" s="1240"/>
      <c r="ID48" s="1240"/>
      <c r="IE48" s="1240"/>
      <c r="IF48" s="1240"/>
      <c r="IG48" s="1240"/>
      <c r="IH48" s="1240"/>
      <c r="II48" s="1240"/>
      <c r="IJ48" s="1240"/>
      <c r="IK48" s="1240"/>
      <c r="IL48" s="1240"/>
      <c r="IM48" s="1240"/>
      <c r="IN48" s="1240"/>
      <c r="IO48" s="1240"/>
      <c r="IP48" s="1240"/>
      <c r="IQ48" s="1240"/>
      <c r="IR48" s="1240"/>
      <c r="IS48" s="1240"/>
      <c r="IT48" s="1240"/>
      <c r="IU48" s="1240"/>
      <c r="IV48" s="1240"/>
      <c r="IW48" s="1240"/>
      <c r="IX48" s="1240"/>
      <c r="IY48" s="1240"/>
      <c r="IZ48" s="1240"/>
      <c r="JA48" s="1240"/>
      <c r="JB48" s="1240"/>
      <c r="JC48" s="1240"/>
      <c r="JD48" s="1240"/>
      <c r="JE48" s="1240"/>
      <c r="JF48" s="1240"/>
      <c r="JG48" s="1240"/>
      <c r="JH48" s="1240"/>
      <c r="JI48" s="1240"/>
      <c r="JJ48" s="1240"/>
      <c r="JK48" s="1240"/>
      <c r="JL48" s="1240"/>
      <c r="JM48" s="1240"/>
      <c r="JN48" s="1240"/>
      <c r="JO48" s="1240"/>
      <c r="JP48" s="1240"/>
      <c r="JQ48" s="1240"/>
      <c r="JR48" s="1240"/>
      <c r="JS48" s="1240"/>
      <c r="JT48" s="1240"/>
      <c r="JU48" s="1240"/>
      <c r="JV48" s="1240"/>
      <c r="JW48" s="1240"/>
      <c r="JX48" s="1240"/>
      <c r="JY48" s="1240"/>
      <c r="JZ48" s="1240"/>
      <c r="KA48" s="1240"/>
      <c r="KB48" s="1240"/>
      <c r="KC48" s="1240"/>
      <c r="KD48" s="1240"/>
      <c r="KE48" s="1240"/>
      <c r="KF48" s="1240"/>
      <c r="KG48" s="1240"/>
      <c r="KH48" s="1240"/>
      <c r="KI48" s="1240"/>
      <c r="KJ48" s="1240"/>
      <c r="KK48" s="1240"/>
      <c r="KL48" s="1240"/>
      <c r="KM48" s="1240"/>
      <c r="KN48" s="1240"/>
      <c r="KO48" s="1240"/>
      <c r="KP48" s="1240"/>
      <c r="KQ48" s="1240"/>
      <c r="KR48" s="1240"/>
      <c r="KS48" s="1240"/>
      <c r="KT48" s="1240"/>
      <c r="KU48" s="1240"/>
      <c r="KV48" s="1240"/>
      <c r="KW48" s="1240"/>
      <c r="KX48" s="1240"/>
      <c r="KY48" s="1240"/>
      <c r="KZ48" s="1240"/>
      <c r="LA48" s="1240"/>
      <c r="LB48" s="1240"/>
      <c r="LC48" s="1240"/>
      <c r="LD48" s="1240"/>
      <c r="LE48" s="1240"/>
      <c r="LF48" s="1240"/>
      <c r="LG48" s="1240"/>
      <c r="LH48" s="1240"/>
      <c r="LI48" s="1240"/>
      <c r="LJ48" s="1240"/>
      <c r="LK48" s="1240"/>
      <c r="LL48" s="1240"/>
      <c r="LM48" s="1240"/>
      <c r="LN48" s="1240"/>
      <c r="LO48" s="1240"/>
      <c r="LP48" s="1240"/>
      <c r="LQ48" s="1240"/>
      <c r="LR48" s="1240"/>
      <c r="LS48" s="1240"/>
      <c r="LT48" s="1240"/>
      <c r="LU48" s="1240"/>
      <c r="LV48" s="1240"/>
      <c r="LW48" s="1240"/>
      <c r="LX48" s="1240"/>
      <c r="LY48" s="1240"/>
      <c r="LZ48" s="1240"/>
      <c r="MA48" s="1240"/>
      <c r="MB48" s="1240"/>
      <c r="MC48" s="1240"/>
      <c r="MD48" s="1240"/>
      <c r="ME48" s="1240"/>
      <c r="MF48" s="1240"/>
      <c r="MG48" s="1240"/>
    </row>
    <row r="49" spans="1:345" s="1106" customFormat="1" x14ac:dyDescent="0.2">
      <c r="A49" s="1240"/>
      <c r="B49" s="1828"/>
      <c r="C49" s="1841"/>
      <c r="D49" s="1841"/>
      <c r="E49" s="1829"/>
      <c r="F49" s="1829"/>
      <c r="G49" s="1830"/>
      <c r="H49" s="1830"/>
      <c r="I49" s="1830"/>
      <c r="J49" s="1842"/>
      <c r="K49" s="1842"/>
      <c r="L49" s="1802" t="s">
        <v>676</v>
      </c>
      <c r="M49" s="1794">
        <v>6</v>
      </c>
      <c r="N49" s="1799" t="s">
        <v>138</v>
      </c>
      <c r="O49" s="1800">
        <v>0</v>
      </c>
      <c r="P49" s="1797">
        <f>O49*M49</f>
        <v>0</v>
      </c>
      <c r="Q49" s="1240"/>
      <c r="R49" s="1240"/>
      <c r="S49" s="1240"/>
      <c r="T49" s="1240"/>
      <c r="U49" s="1240"/>
      <c r="V49" s="1240"/>
      <c r="W49" s="1240"/>
      <c r="X49" s="1240"/>
      <c r="Y49" s="1240"/>
      <c r="Z49" s="1240"/>
      <c r="AA49" s="1240"/>
      <c r="AB49" s="1240"/>
      <c r="AC49" s="1240"/>
      <c r="AD49" s="1240"/>
      <c r="AE49" s="1240"/>
      <c r="AF49" s="1240"/>
      <c r="AG49" s="1240"/>
      <c r="AH49" s="1240"/>
      <c r="AI49" s="1240"/>
      <c r="AJ49" s="1240"/>
      <c r="AK49" s="1240"/>
      <c r="AL49" s="1240"/>
      <c r="AM49" s="1240"/>
      <c r="AN49" s="1240"/>
      <c r="AO49" s="1240"/>
      <c r="AP49" s="1240"/>
      <c r="AQ49" s="1240"/>
      <c r="AR49" s="1240"/>
      <c r="AS49" s="1240"/>
      <c r="AT49" s="1240"/>
      <c r="AU49" s="1240"/>
      <c r="AV49" s="1240"/>
      <c r="AW49" s="1240"/>
      <c r="AX49" s="1240"/>
      <c r="AY49" s="1240"/>
      <c r="AZ49" s="1240"/>
      <c r="BA49" s="1240"/>
      <c r="BB49" s="1240"/>
      <c r="BC49" s="1240"/>
      <c r="BD49" s="1240"/>
      <c r="BE49" s="1240"/>
      <c r="BF49" s="1240"/>
      <c r="BG49" s="1240"/>
      <c r="BH49" s="1240"/>
      <c r="BI49" s="1240"/>
      <c r="BJ49" s="1240"/>
      <c r="BK49" s="1240"/>
      <c r="BL49" s="1240"/>
      <c r="BM49" s="1240"/>
      <c r="BN49" s="1240"/>
      <c r="BO49" s="1240"/>
      <c r="BP49" s="1240"/>
      <c r="BQ49" s="1240"/>
      <c r="BR49" s="1240"/>
      <c r="BS49" s="1240"/>
      <c r="BT49" s="1240"/>
      <c r="BU49" s="1240"/>
      <c r="BV49" s="1240"/>
      <c r="BW49" s="1240"/>
      <c r="BX49" s="1240"/>
      <c r="BY49" s="1240"/>
      <c r="BZ49" s="1240"/>
      <c r="CA49" s="1240"/>
      <c r="CB49" s="1240"/>
      <c r="CC49" s="1240"/>
      <c r="CD49" s="1240"/>
      <c r="CE49" s="1240"/>
      <c r="CF49" s="1240"/>
      <c r="CG49" s="1240"/>
      <c r="CH49" s="1240"/>
      <c r="CI49" s="1240"/>
      <c r="CJ49" s="1240"/>
      <c r="CK49" s="1240"/>
      <c r="CL49" s="1240"/>
      <c r="CM49" s="1240"/>
      <c r="CN49" s="1240"/>
      <c r="CO49" s="1240"/>
      <c r="CP49" s="1240"/>
      <c r="CQ49" s="1240"/>
      <c r="CR49" s="1240"/>
      <c r="CS49" s="1240"/>
      <c r="CT49" s="1240"/>
      <c r="CU49" s="1240"/>
      <c r="CV49" s="1240"/>
      <c r="CW49" s="1240"/>
      <c r="CX49" s="1240"/>
      <c r="CY49" s="1240"/>
      <c r="CZ49" s="1240"/>
      <c r="DA49" s="1240"/>
      <c r="DB49" s="1240"/>
      <c r="DC49" s="1240"/>
      <c r="DD49" s="1240"/>
      <c r="DE49" s="1240"/>
      <c r="DF49" s="1240"/>
      <c r="DG49" s="1240"/>
      <c r="DH49" s="1240"/>
      <c r="DI49" s="1240"/>
      <c r="DJ49" s="1240"/>
      <c r="DK49" s="1240"/>
      <c r="DL49" s="1240"/>
      <c r="DM49" s="1240"/>
      <c r="DN49" s="1240"/>
      <c r="DO49" s="1240"/>
      <c r="DP49" s="1240"/>
      <c r="DQ49" s="1240"/>
      <c r="DR49" s="1240"/>
      <c r="DS49" s="1240"/>
      <c r="DT49" s="1240"/>
      <c r="DU49" s="1240"/>
      <c r="DV49" s="1240"/>
      <c r="DW49" s="1240"/>
      <c r="DX49" s="1240"/>
      <c r="DY49" s="1240"/>
      <c r="DZ49" s="1240"/>
      <c r="EA49" s="1240"/>
      <c r="EB49" s="1240"/>
      <c r="EC49" s="1240"/>
      <c r="ED49" s="1240"/>
      <c r="EE49" s="1240"/>
      <c r="EF49" s="1240"/>
      <c r="EG49" s="1240"/>
      <c r="EH49" s="1240"/>
      <c r="EI49" s="1240"/>
      <c r="EJ49" s="1240"/>
      <c r="EK49" s="1240"/>
      <c r="EL49" s="1240"/>
      <c r="EM49" s="1240"/>
      <c r="EN49" s="1240"/>
      <c r="EO49" s="1240"/>
      <c r="EP49" s="1240"/>
      <c r="EQ49" s="1240"/>
      <c r="ER49" s="1240"/>
      <c r="ES49" s="1240"/>
      <c r="ET49" s="1240"/>
      <c r="EU49" s="1240"/>
      <c r="EV49" s="1240"/>
      <c r="EW49" s="1240"/>
      <c r="EX49" s="1240"/>
      <c r="EY49" s="1240"/>
      <c r="EZ49" s="1240"/>
      <c r="FA49" s="1240"/>
      <c r="FB49" s="1240"/>
      <c r="FC49" s="1240"/>
      <c r="FD49" s="1240"/>
      <c r="FE49" s="1240"/>
      <c r="FF49" s="1240"/>
      <c r="FG49" s="1240"/>
      <c r="FH49" s="1240"/>
      <c r="FI49" s="1240"/>
      <c r="FJ49" s="1240"/>
      <c r="FK49" s="1240"/>
      <c r="FL49" s="1240"/>
      <c r="FM49" s="1240"/>
      <c r="FN49" s="1240"/>
      <c r="FO49" s="1240"/>
      <c r="FP49" s="1240"/>
      <c r="FQ49" s="1240"/>
      <c r="FR49" s="1240"/>
      <c r="FS49" s="1240"/>
      <c r="FT49" s="1240"/>
      <c r="FU49" s="1240"/>
      <c r="FV49" s="1240"/>
      <c r="FW49" s="1240"/>
      <c r="FX49" s="1240"/>
      <c r="FY49" s="1240"/>
      <c r="FZ49" s="1240"/>
      <c r="GA49" s="1240"/>
      <c r="GB49" s="1240"/>
      <c r="GC49" s="1240"/>
      <c r="GD49" s="1240"/>
      <c r="GE49" s="1240"/>
      <c r="GF49" s="1240"/>
      <c r="GG49" s="1240"/>
      <c r="GH49" s="1240"/>
      <c r="GI49" s="1240"/>
      <c r="GJ49" s="1240"/>
      <c r="GK49" s="1240"/>
      <c r="GL49" s="1240"/>
      <c r="GM49" s="1240"/>
      <c r="GN49" s="1240"/>
      <c r="GO49" s="1240"/>
      <c r="GP49" s="1240"/>
      <c r="GQ49" s="1240"/>
      <c r="GR49" s="1240"/>
      <c r="GS49" s="1240"/>
      <c r="GT49" s="1240"/>
      <c r="GU49" s="1240"/>
      <c r="GV49" s="1240"/>
      <c r="GW49" s="1240"/>
      <c r="GX49" s="1240"/>
      <c r="GY49" s="1240"/>
      <c r="GZ49" s="1240"/>
      <c r="HA49" s="1240"/>
      <c r="HB49" s="1240"/>
      <c r="HC49" s="1240"/>
      <c r="HD49" s="1240"/>
      <c r="HE49" s="1240"/>
      <c r="HF49" s="1240"/>
      <c r="HG49" s="1240"/>
      <c r="HH49" s="1240"/>
      <c r="HI49" s="1240"/>
      <c r="HJ49" s="1240"/>
      <c r="HK49" s="1240"/>
      <c r="HL49" s="1240"/>
      <c r="HM49" s="1240"/>
      <c r="HN49" s="1240"/>
      <c r="HO49" s="1240"/>
      <c r="HP49" s="1240"/>
      <c r="HQ49" s="1240"/>
      <c r="HR49" s="1240"/>
      <c r="HS49" s="1240"/>
      <c r="HT49" s="1240"/>
      <c r="HU49" s="1240"/>
      <c r="HV49" s="1240"/>
      <c r="HW49" s="1240"/>
      <c r="HX49" s="1240"/>
      <c r="HY49" s="1240"/>
      <c r="HZ49" s="1240"/>
      <c r="IA49" s="1240"/>
      <c r="IB49" s="1240"/>
      <c r="IC49" s="1240"/>
      <c r="ID49" s="1240"/>
      <c r="IE49" s="1240"/>
      <c r="IF49" s="1240"/>
      <c r="IG49" s="1240"/>
      <c r="IH49" s="1240"/>
      <c r="II49" s="1240"/>
      <c r="IJ49" s="1240"/>
      <c r="IK49" s="1240"/>
      <c r="IL49" s="1240"/>
      <c r="IM49" s="1240"/>
      <c r="IN49" s="1240"/>
      <c r="IO49" s="1240"/>
      <c r="IP49" s="1240"/>
      <c r="IQ49" s="1240"/>
      <c r="IR49" s="1240"/>
      <c r="IS49" s="1240"/>
      <c r="IT49" s="1240"/>
      <c r="IU49" s="1240"/>
      <c r="IV49" s="1240"/>
      <c r="IW49" s="1240"/>
      <c r="IX49" s="1240"/>
      <c r="IY49" s="1240"/>
      <c r="IZ49" s="1240"/>
      <c r="JA49" s="1240"/>
      <c r="JB49" s="1240"/>
      <c r="JC49" s="1240"/>
      <c r="JD49" s="1240"/>
      <c r="JE49" s="1240"/>
      <c r="JF49" s="1240"/>
      <c r="JG49" s="1240"/>
      <c r="JH49" s="1240"/>
      <c r="JI49" s="1240"/>
      <c r="JJ49" s="1240"/>
      <c r="JK49" s="1240"/>
      <c r="JL49" s="1240"/>
      <c r="JM49" s="1240"/>
      <c r="JN49" s="1240"/>
      <c r="JO49" s="1240"/>
      <c r="JP49" s="1240"/>
      <c r="JQ49" s="1240"/>
      <c r="JR49" s="1240"/>
      <c r="JS49" s="1240"/>
      <c r="JT49" s="1240"/>
      <c r="JU49" s="1240"/>
      <c r="JV49" s="1240"/>
      <c r="JW49" s="1240"/>
      <c r="JX49" s="1240"/>
      <c r="JY49" s="1240"/>
      <c r="JZ49" s="1240"/>
      <c r="KA49" s="1240"/>
      <c r="KB49" s="1240"/>
      <c r="KC49" s="1240"/>
      <c r="KD49" s="1240"/>
      <c r="KE49" s="1240"/>
      <c r="KF49" s="1240"/>
      <c r="KG49" s="1240"/>
      <c r="KH49" s="1240"/>
      <c r="KI49" s="1240"/>
      <c r="KJ49" s="1240"/>
      <c r="KK49" s="1240"/>
      <c r="KL49" s="1240"/>
      <c r="KM49" s="1240"/>
      <c r="KN49" s="1240"/>
      <c r="KO49" s="1240"/>
      <c r="KP49" s="1240"/>
      <c r="KQ49" s="1240"/>
      <c r="KR49" s="1240"/>
      <c r="KS49" s="1240"/>
      <c r="KT49" s="1240"/>
      <c r="KU49" s="1240"/>
      <c r="KV49" s="1240"/>
      <c r="KW49" s="1240"/>
      <c r="KX49" s="1240"/>
      <c r="KY49" s="1240"/>
      <c r="KZ49" s="1240"/>
      <c r="LA49" s="1240"/>
      <c r="LB49" s="1240"/>
      <c r="LC49" s="1240"/>
      <c r="LD49" s="1240"/>
      <c r="LE49" s="1240"/>
      <c r="LF49" s="1240"/>
      <c r="LG49" s="1240"/>
      <c r="LH49" s="1240"/>
      <c r="LI49" s="1240"/>
      <c r="LJ49" s="1240"/>
      <c r="LK49" s="1240"/>
      <c r="LL49" s="1240"/>
      <c r="LM49" s="1240"/>
      <c r="LN49" s="1240"/>
      <c r="LO49" s="1240"/>
      <c r="LP49" s="1240"/>
      <c r="LQ49" s="1240"/>
      <c r="LR49" s="1240"/>
      <c r="LS49" s="1240"/>
      <c r="LT49" s="1240"/>
      <c r="LU49" s="1240"/>
      <c r="LV49" s="1240"/>
      <c r="LW49" s="1240"/>
      <c r="LX49" s="1240"/>
      <c r="LY49" s="1240"/>
      <c r="LZ49" s="1240"/>
      <c r="MA49" s="1240"/>
      <c r="MB49" s="1240"/>
      <c r="MC49" s="1240"/>
      <c r="MD49" s="1240"/>
      <c r="ME49" s="1240"/>
      <c r="MF49" s="1240"/>
      <c r="MG49" s="1240"/>
    </row>
    <row r="50" spans="1:345" s="1106" customFormat="1" x14ac:dyDescent="0.2">
      <c r="A50" s="1240"/>
      <c r="B50" s="1828"/>
      <c r="C50" s="1841"/>
      <c r="D50" s="1841"/>
      <c r="E50" s="1829"/>
      <c r="F50" s="1829"/>
      <c r="G50" s="1830"/>
      <c r="H50" s="1830"/>
      <c r="I50" s="1830"/>
      <c r="J50" s="1842"/>
      <c r="K50" s="1842"/>
      <c r="L50" s="1802" t="s">
        <v>1038</v>
      </c>
      <c r="M50" s="1794">
        <f>30*6</f>
        <v>180</v>
      </c>
      <c r="N50" s="1799" t="s">
        <v>138</v>
      </c>
      <c r="O50" s="1803">
        <v>0</v>
      </c>
      <c r="P50" s="1797">
        <f>O50*M50</f>
        <v>0</v>
      </c>
      <c r="Q50" s="1240"/>
      <c r="R50" s="1240"/>
      <c r="S50" s="1240"/>
      <c r="T50" s="1240"/>
      <c r="U50" s="1240"/>
      <c r="V50" s="1240"/>
      <c r="W50" s="1240"/>
      <c r="X50" s="1240"/>
      <c r="Y50" s="1240"/>
      <c r="Z50" s="1240"/>
      <c r="AA50" s="1240"/>
      <c r="AB50" s="1240"/>
      <c r="AC50" s="1240"/>
      <c r="AD50" s="1240"/>
      <c r="AE50" s="1240"/>
      <c r="AF50" s="1240"/>
      <c r="AG50" s="1240"/>
      <c r="AH50" s="1240"/>
      <c r="AI50" s="1240"/>
      <c r="AJ50" s="1240"/>
      <c r="AK50" s="1240"/>
      <c r="AL50" s="1240"/>
      <c r="AM50" s="1240"/>
      <c r="AN50" s="1240"/>
      <c r="AO50" s="1240"/>
      <c r="AP50" s="1240"/>
      <c r="AQ50" s="1240"/>
      <c r="AR50" s="1240"/>
      <c r="AS50" s="1240"/>
      <c r="AT50" s="1240"/>
      <c r="AU50" s="1240"/>
      <c r="AV50" s="1240"/>
      <c r="AW50" s="1240"/>
      <c r="AX50" s="1240"/>
      <c r="AY50" s="1240"/>
      <c r="AZ50" s="1240"/>
      <c r="BA50" s="1240"/>
      <c r="BB50" s="1240"/>
      <c r="BC50" s="1240"/>
      <c r="BD50" s="1240"/>
      <c r="BE50" s="1240"/>
      <c r="BF50" s="1240"/>
      <c r="BG50" s="1240"/>
      <c r="BH50" s="1240"/>
      <c r="BI50" s="1240"/>
      <c r="BJ50" s="1240"/>
      <c r="BK50" s="1240"/>
      <c r="BL50" s="1240"/>
      <c r="BM50" s="1240"/>
      <c r="BN50" s="1240"/>
      <c r="BO50" s="1240"/>
      <c r="BP50" s="1240"/>
      <c r="BQ50" s="1240"/>
      <c r="BR50" s="1240"/>
      <c r="BS50" s="1240"/>
      <c r="BT50" s="1240"/>
      <c r="BU50" s="1240"/>
      <c r="BV50" s="1240"/>
      <c r="BW50" s="1240"/>
      <c r="BX50" s="1240"/>
      <c r="BY50" s="1240"/>
      <c r="BZ50" s="1240"/>
      <c r="CA50" s="1240"/>
      <c r="CB50" s="1240"/>
      <c r="CC50" s="1240"/>
      <c r="CD50" s="1240"/>
      <c r="CE50" s="1240"/>
      <c r="CF50" s="1240"/>
      <c r="CG50" s="1240"/>
      <c r="CH50" s="1240"/>
      <c r="CI50" s="1240"/>
      <c r="CJ50" s="1240"/>
      <c r="CK50" s="1240"/>
      <c r="CL50" s="1240"/>
      <c r="CM50" s="1240"/>
      <c r="CN50" s="1240"/>
      <c r="CO50" s="1240"/>
      <c r="CP50" s="1240"/>
      <c r="CQ50" s="1240"/>
      <c r="CR50" s="1240"/>
      <c r="CS50" s="1240"/>
      <c r="CT50" s="1240"/>
      <c r="CU50" s="1240"/>
      <c r="CV50" s="1240"/>
      <c r="CW50" s="1240"/>
      <c r="CX50" s="1240"/>
      <c r="CY50" s="1240"/>
      <c r="CZ50" s="1240"/>
      <c r="DA50" s="1240"/>
      <c r="DB50" s="1240"/>
      <c r="DC50" s="1240"/>
      <c r="DD50" s="1240"/>
      <c r="DE50" s="1240"/>
      <c r="DF50" s="1240"/>
      <c r="DG50" s="1240"/>
      <c r="DH50" s="1240"/>
      <c r="DI50" s="1240"/>
      <c r="DJ50" s="1240"/>
      <c r="DK50" s="1240"/>
      <c r="DL50" s="1240"/>
      <c r="DM50" s="1240"/>
      <c r="DN50" s="1240"/>
      <c r="DO50" s="1240"/>
      <c r="DP50" s="1240"/>
      <c r="DQ50" s="1240"/>
      <c r="DR50" s="1240"/>
      <c r="DS50" s="1240"/>
      <c r="DT50" s="1240"/>
      <c r="DU50" s="1240"/>
      <c r="DV50" s="1240"/>
      <c r="DW50" s="1240"/>
      <c r="DX50" s="1240"/>
      <c r="DY50" s="1240"/>
      <c r="DZ50" s="1240"/>
      <c r="EA50" s="1240"/>
      <c r="EB50" s="1240"/>
      <c r="EC50" s="1240"/>
      <c r="ED50" s="1240"/>
      <c r="EE50" s="1240"/>
      <c r="EF50" s="1240"/>
      <c r="EG50" s="1240"/>
      <c r="EH50" s="1240"/>
      <c r="EI50" s="1240"/>
      <c r="EJ50" s="1240"/>
      <c r="EK50" s="1240"/>
      <c r="EL50" s="1240"/>
      <c r="EM50" s="1240"/>
      <c r="EN50" s="1240"/>
      <c r="EO50" s="1240"/>
      <c r="EP50" s="1240"/>
      <c r="EQ50" s="1240"/>
      <c r="ER50" s="1240"/>
      <c r="ES50" s="1240"/>
      <c r="ET50" s="1240"/>
      <c r="EU50" s="1240"/>
      <c r="EV50" s="1240"/>
      <c r="EW50" s="1240"/>
      <c r="EX50" s="1240"/>
      <c r="EY50" s="1240"/>
      <c r="EZ50" s="1240"/>
      <c r="FA50" s="1240"/>
      <c r="FB50" s="1240"/>
      <c r="FC50" s="1240"/>
      <c r="FD50" s="1240"/>
      <c r="FE50" s="1240"/>
      <c r="FF50" s="1240"/>
      <c r="FG50" s="1240"/>
      <c r="FH50" s="1240"/>
      <c r="FI50" s="1240"/>
      <c r="FJ50" s="1240"/>
      <c r="FK50" s="1240"/>
      <c r="FL50" s="1240"/>
      <c r="FM50" s="1240"/>
      <c r="FN50" s="1240"/>
      <c r="FO50" s="1240"/>
      <c r="FP50" s="1240"/>
      <c r="FQ50" s="1240"/>
      <c r="FR50" s="1240"/>
      <c r="FS50" s="1240"/>
      <c r="FT50" s="1240"/>
      <c r="FU50" s="1240"/>
      <c r="FV50" s="1240"/>
      <c r="FW50" s="1240"/>
      <c r="FX50" s="1240"/>
      <c r="FY50" s="1240"/>
      <c r="FZ50" s="1240"/>
      <c r="GA50" s="1240"/>
      <c r="GB50" s="1240"/>
      <c r="GC50" s="1240"/>
      <c r="GD50" s="1240"/>
      <c r="GE50" s="1240"/>
      <c r="GF50" s="1240"/>
      <c r="GG50" s="1240"/>
      <c r="GH50" s="1240"/>
      <c r="GI50" s="1240"/>
      <c r="GJ50" s="1240"/>
      <c r="GK50" s="1240"/>
      <c r="GL50" s="1240"/>
      <c r="GM50" s="1240"/>
      <c r="GN50" s="1240"/>
      <c r="GO50" s="1240"/>
      <c r="GP50" s="1240"/>
      <c r="GQ50" s="1240"/>
      <c r="GR50" s="1240"/>
      <c r="GS50" s="1240"/>
      <c r="GT50" s="1240"/>
      <c r="GU50" s="1240"/>
      <c r="GV50" s="1240"/>
      <c r="GW50" s="1240"/>
      <c r="GX50" s="1240"/>
      <c r="GY50" s="1240"/>
      <c r="GZ50" s="1240"/>
      <c r="HA50" s="1240"/>
      <c r="HB50" s="1240"/>
      <c r="HC50" s="1240"/>
      <c r="HD50" s="1240"/>
      <c r="HE50" s="1240"/>
      <c r="HF50" s="1240"/>
      <c r="HG50" s="1240"/>
      <c r="HH50" s="1240"/>
      <c r="HI50" s="1240"/>
      <c r="HJ50" s="1240"/>
      <c r="HK50" s="1240"/>
      <c r="HL50" s="1240"/>
      <c r="HM50" s="1240"/>
      <c r="HN50" s="1240"/>
      <c r="HO50" s="1240"/>
      <c r="HP50" s="1240"/>
      <c r="HQ50" s="1240"/>
      <c r="HR50" s="1240"/>
      <c r="HS50" s="1240"/>
      <c r="HT50" s="1240"/>
      <c r="HU50" s="1240"/>
      <c r="HV50" s="1240"/>
      <c r="HW50" s="1240"/>
      <c r="HX50" s="1240"/>
      <c r="HY50" s="1240"/>
      <c r="HZ50" s="1240"/>
      <c r="IA50" s="1240"/>
      <c r="IB50" s="1240"/>
      <c r="IC50" s="1240"/>
      <c r="ID50" s="1240"/>
      <c r="IE50" s="1240"/>
      <c r="IF50" s="1240"/>
      <c r="IG50" s="1240"/>
      <c r="IH50" s="1240"/>
      <c r="II50" s="1240"/>
      <c r="IJ50" s="1240"/>
      <c r="IK50" s="1240"/>
      <c r="IL50" s="1240"/>
      <c r="IM50" s="1240"/>
      <c r="IN50" s="1240"/>
      <c r="IO50" s="1240"/>
      <c r="IP50" s="1240"/>
      <c r="IQ50" s="1240"/>
      <c r="IR50" s="1240"/>
      <c r="IS50" s="1240"/>
      <c r="IT50" s="1240"/>
      <c r="IU50" s="1240"/>
      <c r="IV50" s="1240"/>
      <c r="IW50" s="1240"/>
      <c r="IX50" s="1240"/>
      <c r="IY50" s="1240"/>
      <c r="IZ50" s="1240"/>
      <c r="JA50" s="1240"/>
      <c r="JB50" s="1240"/>
      <c r="JC50" s="1240"/>
      <c r="JD50" s="1240"/>
      <c r="JE50" s="1240"/>
      <c r="JF50" s="1240"/>
      <c r="JG50" s="1240"/>
      <c r="JH50" s="1240"/>
      <c r="JI50" s="1240"/>
      <c r="JJ50" s="1240"/>
      <c r="JK50" s="1240"/>
      <c r="JL50" s="1240"/>
      <c r="JM50" s="1240"/>
      <c r="JN50" s="1240"/>
      <c r="JO50" s="1240"/>
      <c r="JP50" s="1240"/>
      <c r="JQ50" s="1240"/>
      <c r="JR50" s="1240"/>
      <c r="JS50" s="1240"/>
      <c r="JT50" s="1240"/>
      <c r="JU50" s="1240"/>
      <c r="JV50" s="1240"/>
      <c r="JW50" s="1240"/>
      <c r="JX50" s="1240"/>
      <c r="JY50" s="1240"/>
      <c r="JZ50" s="1240"/>
      <c r="KA50" s="1240"/>
      <c r="KB50" s="1240"/>
      <c r="KC50" s="1240"/>
      <c r="KD50" s="1240"/>
      <c r="KE50" s="1240"/>
      <c r="KF50" s="1240"/>
      <c r="KG50" s="1240"/>
      <c r="KH50" s="1240"/>
      <c r="KI50" s="1240"/>
      <c r="KJ50" s="1240"/>
      <c r="KK50" s="1240"/>
      <c r="KL50" s="1240"/>
      <c r="KM50" s="1240"/>
      <c r="KN50" s="1240"/>
      <c r="KO50" s="1240"/>
      <c r="KP50" s="1240"/>
      <c r="KQ50" s="1240"/>
      <c r="KR50" s="1240"/>
      <c r="KS50" s="1240"/>
      <c r="KT50" s="1240"/>
      <c r="KU50" s="1240"/>
      <c r="KV50" s="1240"/>
      <c r="KW50" s="1240"/>
      <c r="KX50" s="1240"/>
      <c r="KY50" s="1240"/>
      <c r="KZ50" s="1240"/>
      <c r="LA50" s="1240"/>
      <c r="LB50" s="1240"/>
      <c r="LC50" s="1240"/>
      <c r="LD50" s="1240"/>
      <c r="LE50" s="1240"/>
      <c r="LF50" s="1240"/>
      <c r="LG50" s="1240"/>
      <c r="LH50" s="1240"/>
      <c r="LI50" s="1240"/>
      <c r="LJ50" s="1240"/>
      <c r="LK50" s="1240"/>
      <c r="LL50" s="1240"/>
      <c r="LM50" s="1240"/>
      <c r="LN50" s="1240"/>
      <c r="LO50" s="1240"/>
      <c r="LP50" s="1240"/>
      <c r="LQ50" s="1240"/>
      <c r="LR50" s="1240"/>
      <c r="LS50" s="1240"/>
      <c r="LT50" s="1240"/>
      <c r="LU50" s="1240"/>
      <c r="LV50" s="1240"/>
      <c r="LW50" s="1240"/>
      <c r="LX50" s="1240"/>
      <c r="LY50" s="1240"/>
      <c r="LZ50" s="1240"/>
      <c r="MA50" s="1240"/>
      <c r="MB50" s="1240"/>
      <c r="MC50" s="1240"/>
      <c r="MD50" s="1240"/>
      <c r="ME50" s="1240"/>
      <c r="MF50" s="1240"/>
      <c r="MG50" s="1240"/>
    </row>
    <row r="51" spans="1:345" s="1106" customFormat="1" x14ac:dyDescent="0.2">
      <c r="A51" s="1240"/>
      <c r="B51" s="1828"/>
      <c r="C51" s="1841"/>
      <c r="D51" s="1841"/>
      <c r="E51" s="1829"/>
      <c r="F51" s="1829"/>
      <c r="G51" s="1830"/>
      <c r="H51" s="1830"/>
      <c r="I51" s="1830"/>
      <c r="J51" s="1842"/>
      <c r="K51" s="1842"/>
      <c r="L51" s="1802" t="s">
        <v>1039</v>
      </c>
      <c r="M51" s="1794">
        <f>3*6</f>
        <v>18</v>
      </c>
      <c r="N51" s="1799" t="s">
        <v>138</v>
      </c>
      <c r="O51" s="1803">
        <v>0</v>
      </c>
      <c r="P51" s="1797">
        <f>O51*M51</f>
        <v>0</v>
      </c>
      <c r="Q51" s="1240"/>
      <c r="R51" s="1240"/>
      <c r="S51" s="1240"/>
      <c r="T51" s="1240"/>
      <c r="U51" s="1240"/>
      <c r="V51" s="1240"/>
      <c r="W51" s="1240"/>
      <c r="X51" s="1240"/>
      <c r="Y51" s="1240"/>
      <c r="Z51" s="1240"/>
      <c r="AA51" s="1240"/>
      <c r="AB51" s="1240"/>
      <c r="AC51" s="1240"/>
      <c r="AD51" s="1240"/>
      <c r="AE51" s="1240"/>
      <c r="AF51" s="1240"/>
      <c r="AG51" s="1240"/>
      <c r="AH51" s="1240"/>
      <c r="AI51" s="1240"/>
      <c r="AJ51" s="1240"/>
      <c r="AK51" s="1240"/>
      <c r="AL51" s="1240"/>
      <c r="AM51" s="1240"/>
      <c r="AN51" s="1240"/>
      <c r="AO51" s="1240"/>
      <c r="AP51" s="1240"/>
      <c r="AQ51" s="1240"/>
      <c r="AR51" s="1240"/>
      <c r="AS51" s="1240"/>
      <c r="AT51" s="1240"/>
      <c r="AU51" s="1240"/>
      <c r="AV51" s="1240"/>
      <c r="AW51" s="1240"/>
      <c r="AX51" s="1240"/>
      <c r="AY51" s="1240"/>
      <c r="AZ51" s="1240"/>
      <c r="BA51" s="1240"/>
      <c r="BB51" s="1240"/>
      <c r="BC51" s="1240"/>
      <c r="BD51" s="1240"/>
      <c r="BE51" s="1240"/>
      <c r="BF51" s="1240"/>
      <c r="BG51" s="1240"/>
      <c r="BH51" s="1240"/>
      <c r="BI51" s="1240"/>
      <c r="BJ51" s="1240"/>
      <c r="BK51" s="1240"/>
      <c r="BL51" s="1240"/>
      <c r="BM51" s="1240"/>
      <c r="BN51" s="1240"/>
      <c r="BO51" s="1240"/>
      <c r="BP51" s="1240"/>
      <c r="BQ51" s="1240"/>
      <c r="BR51" s="1240"/>
      <c r="BS51" s="1240"/>
      <c r="BT51" s="1240"/>
      <c r="BU51" s="1240"/>
      <c r="BV51" s="1240"/>
      <c r="BW51" s="1240"/>
      <c r="BX51" s="1240"/>
      <c r="BY51" s="1240"/>
      <c r="BZ51" s="1240"/>
      <c r="CA51" s="1240"/>
      <c r="CB51" s="1240"/>
      <c r="CC51" s="1240"/>
      <c r="CD51" s="1240"/>
      <c r="CE51" s="1240"/>
      <c r="CF51" s="1240"/>
      <c r="CG51" s="1240"/>
      <c r="CH51" s="1240"/>
      <c r="CI51" s="1240"/>
      <c r="CJ51" s="1240"/>
      <c r="CK51" s="1240"/>
      <c r="CL51" s="1240"/>
      <c r="CM51" s="1240"/>
      <c r="CN51" s="1240"/>
      <c r="CO51" s="1240"/>
      <c r="CP51" s="1240"/>
      <c r="CQ51" s="1240"/>
      <c r="CR51" s="1240"/>
      <c r="CS51" s="1240"/>
      <c r="CT51" s="1240"/>
      <c r="CU51" s="1240"/>
      <c r="CV51" s="1240"/>
      <c r="CW51" s="1240"/>
      <c r="CX51" s="1240"/>
      <c r="CY51" s="1240"/>
      <c r="CZ51" s="1240"/>
      <c r="DA51" s="1240"/>
      <c r="DB51" s="1240"/>
      <c r="DC51" s="1240"/>
      <c r="DD51" s="1240"/>
      <c r="DE51" s="1240"/>
      <c r="DF51" s="1240"/>
      <c r="DG51" s="1240"/>
      <c r="DH51" s="1240"/>
      <c r="DI51" s="1240"/>
      <c r="DJ51" s="1240"/>
      <c r="DK51" s="1240"/>
      <c r="DL51" s="1240"/>
      <c r="DM51" s="1240"/>
      <c r="DN51" s="1240"/>
      <c r="DO51" s="1240"/>
      <c r="DP51" s="1240"/>
      <c r="DQ51" s="1240"/>
      <c r="DR51" s="1240"/>
      <c r="DS51" s="1240"/>
      <c r="DT51" s="1240"/>
      <c r="DU51" s="1240"/>
      <c r="DV51" s="1240"/>
      <c r="DW51" s="1240"/>
      <c r="DX51" s="1240"/>
      <c r="DY51" s="1240"/>
      <c r="DZ51" s="1240"/>
      <c r="EA51" s="1240"/>
      <c r="EB51" s="1240"/>
      <c r="EC51" s="1240"/>
      <c r="ED51" s="1240"/>
      <c r="EE51" s="1240"/>
      <c r="EF51" s="1240"/>
      <c r="EG51" s="1240"/>
      <c r="EH51" s="1240"/>
      <c r="EI51" s="1240"/>
      <c r="EJ51" s="1240"/>
      <c r="EK51" s="1240"/>
      <c r="EL51" s="1240"/>
      <c r="EM51" s="1240"/>
      <c r="EN51" s="1240"/>
      <c r="EO51" s="1240"/>
      <c r="EP51" s="1240"/>
      <c r="EQ51" s="1240"/>
      <c r="ER51" s="1240"/>
      <c r="ES51" s="1240"/>
      <c r="ET51" s="1240"/>
      <c r="EU51" s="1240"/>
      <c r="EV51" s="1240"/>
      <c r="EW51" s="1240"/>
      <c r="EX51" s="1240"/>
      <c r="EY51" s="1240"/>
      <c r="EZ51" s="1240"/>
      <c r="FA51" s="1240"/>
      <c r="FB51" s="1240"/>
      <c r="FC51" s="1240"/>
      <c r="FD51" s="1240"/>
      <c r="FE51" s="1240"/>
      <c r="FF51" s="1240"/>
      <c r="FG51" s="1240"/>
      <c r="FH51" s="1240"/>
      <c r="FI51" s="1240"/>
      <c r="FJ51" s="1240"/>
      <c r="FK51" s="1240"/>
      <c r="FL51" s="1240"/>
      <c r="FM51" s="1240"/>
      <c r="FN51" s="1240"/>
      <c r="FO51" s="1240"/>
      <c r="FP51" s="1240"/>
      <c r="FQ51" s="1240"/>
      <c r="FR51" s="1240"/>
      <c r="FS51" s="1240"/>
      <c r="FT51" s="1240"/>
      <c r="FU51" s="1240"/>
      <c r="FV51" s="1240"/>
      <c r="FW51" s="1240"/>
      <c r="FX51" s="1240"/>
      <c r="FY51" s="1240"/>
      <c r="FZ51" s="1240"/>
      <c r="GA51" s="1240"/>
      <c r="GB51" s="1240"/>
      <c r="GC51" s="1240"/>
      <c r="GD51" s="1240"/>
      <c r="GE51" s="1240"/>
      <c r="GF51" s="1240"/>
      <c r="GG51" s="1240"/>
      <c r="GH51" s="1240"/>
      <c r="GI51" s="1240"/>
      <c r="GJ51" s="1240"/>
      <c r="GK51" s="1240"/>
      <c r="GL51" s="1240"/>
      <c r="GM51" s="1240"/>
      <c r="GN51" s="1240"/>
      <c r="GO51" s="1240"/>
      <c r="GP51" s="1240"/>
      <c r="GQ51" s="1240"/>
      <c r="GR51" s="1240"/>
      <c r="GS51" s="1240"/>
      <c r="GT51" s="1240"/>
      <c r="GU51" s="1240"/>
      <c r="GV51" s="1240"/>
      <c r="GW51" s="1240"/>
      <c r="GX51" s="1240"/>
      <c r="GY51" s="1240"/>
      <c r="GZ51" s="1240"/>
      <c r="HA51" s="1240"/>
      <c r="HB51" s="1240"/>
      <c r="HC51" s="1240"/>
      <c r="HD51" s="1240"/>
      <c r="HE51" s="1240"/>
      <c r="HF51" s="1240"/>
      <c r="HG51" s="1240"/>
      <c r="HH51" s="1240"/>
      <c r="HI51" s="1240"/>
      <c r="HJ51" s="1240"/>
      <c r="HK51" s="1240"/>
      <c r="HL51" s="1240"/>
      <c r="HM51" s="1240"/>
      <c r="HN51" s="1240"/>
      <c r="HO51" s="1240"/>
      <c r="HP51" s="1240"/>
      <c r="HQ51" s="1240"/>
      <c r="HR51" s="1240"/>
      <c r="HS51" s="1240"/>
      <c r="HT51" s="1240"/>
      <c r="HU51" s="1240"/>
      <c r="HV51" s="1240"/>
      <c r="HW51" s="1240"/>
      <c r="HX51" s="1240"/>
      <c r="HY51" s="1240"/>
      <c r="HZ51" s="1240"/>
      <c r="IA51" s="1240"/>
      <c r="IB51" s="1240"/>
      <c r="IC51" s="1240"/>
      <c r="ID51" s="1240"/>
      <c r="IE51" s="1240"/>
      <c r="IF51" s="1240"/>
      <c r="IG51" s="1240"/>
      <c r="IH51" s="1240"/>
      <c r="II51" s="1240"/>
      <c r="IJ51" s="1240"/>
      <c r="IK51" s="1240"/>
      <c r="IL51" s="1240"/>
      <c r="IM51" s="1240"/>
      <c r="IN51" s="1240"/>
      <c r="IO51" s="1240"/>
      <c r="IP51" s="1240"/>
      <c r="IQ51" s="1240"/>
      <c r="IR51" s="1240"/>
      <c r="IS51" s="1240"/>
      <c r="IT51" s="1240"/>
      <c r="IU51" s="1240"/>
      <c r="IV51" s="1240"/>
      <c r="IW51" s="1240"/>
      <c r="IX51" s="1240"/>
      <c r="IY51" s="1240"/>
      <c r="IZ51" s="1240"/>
      <c r="JA51" s="1240"/>
      <c r="JB51" s="1240"/>
      <c r="JC51" s="1240"/>
      <c r="JD51" s="1240"/>
      <c r="JE51" s="1240"/>
      <c r="JF51" s="1240"/>
      <c r="JG51" s="1240"/>
      <c r="JH51" s="1240"/>
      <c r="JI51" s="1240"/>
      <c r="JJ51" s="1240"/>
      <c r="JK51" s="1240"/>
      <c r="JL51" s="1240"/>
      <c r="JM51" s="1240"/>
      <c r="JN51" s="1240"/>
      <c r="JO51" s="1240"/>
      <c r="JP51" s="1240"/>
      <c r="JQ51" s="1240"/>
      <c r="JR51" s="1240"/>
      <c r="JS51" s="1240"/>
      <c r="JT51" s="1240"/>
      <c r="JU51" s="1240"/>
      <c r="JV51" s="1240"/>
      <c r="JW51" s="1240"/>
      <c r="JX51" s="1240"/>
      <c r="JY51" s="1240"/>
      <c r="JZ51" s="1240"/>
      <c r="KA51" s="1240"/>
      <c r="KB51" s="1240"/>
      <c r="KC51" s="1240"/>
      <c r="KD51" s="1240"/>
      <c r="KE51" s="1240"/>
      <c r="KF51" s="1240"/>
      <c r="KG51" s="1240"/>
      <c r="KH51" s="1240"/>
      <c r="KI51" s="1240"/>
      <c r="KJ51" s="1240"/>
      <c r="KK51" s="1240"/>
      <c r="KL51" s="1240"/>
      <c r="KM51" s="1240"/>
      <c r="KN51" s="1240"/>
      <c r="KO51" s="1240"/>
      <c r="KP51" s="1240"/>
      <c r="KQ51" s="1240"/>
      <c r="KR51" s="1240"/>
      <c r="KS51" s="1240"/>
      <c r="KT51" s="1240"/>
      <c r="KU51" s="1240"/>
      <c r="KV51" s="1240"/>
      <c r="KW51" s="1240"/>
      <c r="KX51" s="1240"/>
      <c r="KY51" s="1240"/>
      <c r="KZ51" s="1240"/>
      <c r="LA51" s="1240"/>
      <c r="LB51" s="1240"/>
      <c r="LC51" s="1240"/>
      <c r="LD51" s="1240"/>
      <c r="LE51" s="1240"/>
      <c r="LF51" s="1240"/>
      <c r="LG51" s="1240"/>
      <c r="LH51" s="1240"/>
      <c r="LI51" s="1240"/>
      <c r="LJ51" s="1240"/>
      <c r="LK51" s="1240"/>
      <c r="LL51" s="1240"/>
      <c r="LM51" s="1240"/>
      <c r="LN51" s="1240"/>
      <c r="LO51" s="1240"/>
      <c r="LP51" s="1240"/>
      <c r="LQ51" s="1240"/>
      <c r="LR51" s="1240"/>
      <c r="LS51" s="1240"/>
      <c r="LT51" s="1240"/>
      <c r="LU51" s="1240"/>
      <c r="LV51" s="1240"/>
      <c r="LW51" s="1240"/>
      <c r="LX51" s="1240"/>
      <c r="LY51" s="1240"/>
      <c r="LZ51" s="1240"/>
      <c r="MA51" s="1240"/>
      <c r="MB51" s="1240"/>
      <c r="MC51" s="1240"/>
      <c r="MD51" s="1240"/>
      <c r="ME51" s="1240"/>
      <c r="MF51" s="1240"/>
      <c r="MG51" s="1240"/>
    </row>
    <row r="52" spans="1:345" s="1106" customFormat="1" x14ac:dyDescent="0.2">
      <c r="A52" s="1240"/>
      <c r="B52" s="1828"/>
      <c r="C52" s="1841"/>
      <c r="D52" s="1841"/>
      <c r="E52" s="1829"/>
      <c r="F52" s="1829"/>
      <c r="G52" s="1830"/>
      <c r="H52" s="1830"/>
      <c r="I52" s="1830"/>
      <c r="J52" s="1842"/>
      <c r="K52" s="1842"/>
      <c r="L52" s="427"/>
      <c r="M52" s="1394"/>
      <c r="N52" s="1143"/>
      <c r="O52" s="262"/>
      <c r="P52" s="1236"/>
      <c r="Q52" s="1240"/>
      <c r="R52" s="1240"/>
      <c r="S52" s="1240"/>
      <c r="T52" s="1240"/>
      <c r="U52" s="1240"/>
      <c r="V52" s="1240"/>
      <c r="W52" s="1240"/>
      <c r="X52" s="1240"/>
      <c r="Y52" s="1240"/>
      <c r="Z52" s="1240"/>
      <c r="AA52" s="1240"/>
      <c r="AB52" s="1240"/>
      <c r="AC52" s="1240"/>
      <c r="AD52" s="1240"/>
      <c r="AE52" s="1240"/>
      <c r="AF52" s="1240"/>
      <c r="AG52" s="1240"/>
      <c r="AH52" s="1240"/>
      <c r="AI52" s="1240"/>
      <c r="AJ52" s="1240"/>
      <c r="AK52" s="1240"/>
      <c r="AL52" s="1240"/>
      <c r="AM52" s="1240"/>
      <c r="AN52" s="1240"/>
      <c r="AO52" s="1240"/>
      <c r="AP52" s="1240"/>
      <c r="AQ52" s="1240"/>
      <c r="AR52" s="1240"/>
      <c r="AS52" s="1240"/>
      <c r="AT52" s="1240"/>
      <c r="AU52" s="1240"/>
      <c r="AV52" s="1240"/>
      <c r="AW52" s="1240"/>
      <c r="AX52" s="1240"/>
      <c r="AY52" s="1240"/>
      <c r="AZ52" s="1240"/>
      <c r="BA52" s="1240"/>
      <c r="BB52" s="1240"/>
      <c r="BC52" s="1240"/>
      <c r="BD52" s="1240"/>
      <c r="BE52" s="1240"/>
      <c r="BF52" s="1240"/>
      <c r="BG52" s="1240"/>
      <c r="BH52" s="1240"/>
      <c r="BI52" s="1240"/>
      <c r="BJ52" s="1240"/>
      <c r="BK52" s="1240"/>
      <c r="BL52" s="1240"/>
      <c r="BM52" s="1240"/>
      <c r="BN52" s="1240"/>
      <c r="BO52" s="1240"/>
      <c r="BP52" s="1240"/>
      <c r="BQ52" s="1240"/>
      <c r="BR52" s="1240"/>
      <c r="BS52" s="1240"/>
      <c r="BT52" s="1240"/>
      <c r="BU52" s="1240"/>
      <c r="BV52" s="1240"/>
      <c r="BW52" s="1240"/>
      <c r="BX52" s="1240"/>
      <c r="BY52" s="1240"/>
      <c r="BZ52" s="1240"/>
      <c r="CA52" s="1240"/>
      <c r="CB52" s="1240"/>
      <c r="CC52" s="1240"/>
      <c r="CD52" s="1240"/>
      <c r="CE52" s="1240"/>
      <c r="CF52" s="1240"/>
      <c r="CG52" s="1240"/>
      <c r="CH52" s="1240"/>
      <c r="CI52" s="1240"/>
      <c r="CJ52" s="1240"/>
      <c r="CK52" s="1240"/>
      <c r="CL52" s="1240"/>
      <c r="CM52" s="1240"/>
      <c r="CN52" s="1240"/>
      <c r="CO52" s="1240"/>
      <c r="CP52" s="1240"/>
      <c r="CQ52" s="1240"/>
      <c r="CR52" s="1240"/>
      <c r="CS52" s="1240"/>
      <c r="CT52" s="1240"/>
      <c r="CU52" s="1240"/>
      <c r="CV52" s="1240"/>
      <c r="CW52" s="1240"/>
      <c r="CX52" s="1240"/>
      <c r="CY52" s="1240"/>
      <c r="CZ52" s="1240"/>
      <c r="DA52" s="1240"/>
      <c r="DB52" s="1240"/>
      <c r="DC52" s="1240"/>
      <c r="DD52" s="1240"/>
      <c r="DE52" s="1240"/>
      <c r="DF52" s="1240"/>
      <c r="DG52" s="1240"/>
      <c r="DH52" s="1240"/>
      <c r="DI52" s="1240"/>
      <c r="DJ52" s="1240"/>
      <c r="DK52" s="1240"/>
      <c r="DL52" s="1240"/>
      <c r="DM52" s="1240"/>
      <c r="DN52" s="1240"/>
      <c r="DO52" s="1240"/>
      <c r="DP52" s="1240"/>
      <c r="DQ52" s="1240"/>
      <c r="DR52" s="1240"/>
      <c r="DS52" s="1240"/>
      <c r="DT52" s="1240"/>
      <c r="DU52" s="1240"/>
      <c r="DV52" s="1240"/>
      <c r="DW52" s="1240"/>
      <c r="DX52" s="1240"/>
      <c r="DY52" s="1240"/>
      <c r="DZ52" s="1240"/>
      <c r="EA52" s="1240"/>
      <c r="EB52" s="1240"/>
      <c r="EC52" s="1240"/>
      <c r="ED52" s="1240"/>
      <c r="EE52" s="1240"/>
      <c r="EF52" s="1240"/>
      <c r="EG52" s="1240"/>
      <c r="EH52" s="1240"/>
      <c r="EI52" s="1240"/>
      <c r="EJ52" s="1240"/>
      <c r="EK52" s="1240"/>
      <c r="EL52" s="1240"/>
      <c r="EM52" s="1240"/>
      <c r="EN52" s="1240"/>
      <c r="EO52" s="1240"/>
      <c r="EP52" s="1240"/>
      <c r="EQ52" s="1240"/>
      <c r="ER52" s="1240"/>
      <c r="ES52" s="1240"/>
      <c r="ET52" s="1240"/>
      <c r="EU52" s="1240"/>
      <c r="EV52" s="1240"/>
      <c r="EW52" s="1240"/>
      <c r="EX52" s="1240"/>
      <c r="EY52" s="1240"/>
      <c r="EZ52" s="1240"/>
      <c r="FA52" s="1240"/>
      <c r="FB52" s="1240"/>
      <c r="FC52" s="1240"/>
      <c r="FD52" s="1240"/>
      <c r="FE52" s="1240"/>
      <c r="FF52" s="1240"/>
      <c r="FG52" s="1240"/>
      <c r="FH52" s="1240"/>
      <c r="FI52" s="1240"/>
      <c r="FJ52" s="1240"/>
      <c r="FK52" s="1240"/>
      <c r="FL52" s="1240"/>
      <c r="FM52" s="1240"/>
      <c r="FN52" s="1240"/>
      <c r="FO52" s="1240"/>
      <c r="FP52" s="1240"/>
      <c r="FQ52" s="1240"/>
      <c r="FR52" s="1240"/>
      <c r="FS52" s="1240"/>
      <c r="FT52" s="1240"/>
      <c r="FU52" s="1240"/>
      <c r="FV52" s="1240"/>
      <c r="FW52" s="1240"/>
      <c r="FX52" s="1240"/>
      <c r="FY52" s="1240"/>
      <c r="FZ52" s="1240"/>
      <c r="GA52" s="1240"/>
      <c r="GB52" s="1240"/>
      <c r="GC52" s="1240"/>
      <c r="GD52" s="1240"/>
      <c r="GE52" s="1240"/>
      <c r="GF52" s="1240"/>
      <c r="GG52" s="1240"/>
      <c r="GH52" s="1240"/>
      <c r="GI52" s="1240"/>
      <c r="GJ52" s="1240"/>
      <c r="GK52" s="1240"/>
      <c r="GL52" s="1240"/>
      <c r="GM52" s="1240"/>
      <c r="GN52" s="1240"/>
      <c r="GO52" s="1240"/>
      <c r="GP52" s="1240"/>
      <c r="GQ52" s="1240"/>
      <c r="GR52" s="1240"/>
      <c r="GS52" s="1240"/>
      <c r="GT52" s="1240"/>
      <c r="GU52" s="1240"/>
      <c r="GV52" s="1240"/>
      <c r="GW52" s="1240"/>
      <c r="GX52" s="1240"/>
      <c r="GY52" s="1240"/>
      <c r="GZ52" s="1240"/>
      <c r="HA52" s="1240"/>
      <c r="HB52" s="1240"/>
      <c r="HC52" s="1240"/>
      <c r="HD52" s="1240"/>
      <c r="HE52" s="1240"/>
      <c r="HF52" s="1240"/>
      <c r="HG52" s="1240"/>
      <c r="HH52" s="1240"/>
      <c r="HI52" s="1240"/>
      <c r="HJ52" s="1240"/>
      <c r="HK52" s="1240"/>
      <c r="HL52" s="1240"/>
      <c r="HM52" s="1240"/>
      <c r="HN52" s="1240"/>
      <c r="HO52" s="1240"/>
      <c r="HP52" s="1240"/>
      <c r="HQ52" s="1240"/>
      <c r="HR52" s="1240"/>
      <c r="HS52" s="1240"/>
      <c r="HT52" s="1240"/>
      <c r="HU52" s="1240"/>
      <c r="HV52" s="1240"/>
      <c r="HW52" s="1240"/>
      <c r="HX52" s="1240"/>
      <c r="HY52" s="1240"/>
      <c r="HZ52" s="1240"/>
      <c r="IA52" s="1240"/>
      <c r="IB52" s="1240"/>
      <c r="IC52" s="1240"/>
      <c r="ID52" s="1240"/>
      <c r="IE52" s="1240"/>
      <c r="IF52" s="1240"/>
      <c r="IG52" s="1240"/>
      <c r="IH52" s="1240"/>
      <c r="II52" s="1240"/>
      <c r="IJ52" s="1240"/>
      <c r="IK52" s="1240"/>
      <c r="IL52" s="1240"/>
      <c r="IM52" s="1240"/>
      <c r="IN52" s="1240"/>
      <c r="IO52" s="1240"/>
      <c r="IP52" s="1240"/>
      <c r="IQ52" s="1240"/>
      <c r="IR52" s="1240"/>
      <c r="IS52" s="1240"/>
      <c r="IT52" s="1240"/>
      <c r="IU52" s="1240"/>
      <c r="IV52" s="1240"/>
      <c r="IW52" s="1240"/>
      <c r="IX52" s="1240"/>
      <c r="IY52" s="1240"/>
      <c r="IZ52" s="1240"/>
      <c r="JA52" s="1240"/>
      <c r="JB52" s="1240"/>
      <c r="JC52" s="1240"/>
      <c r="JD52" s="1240"/>
      <c r="JE52" s="1240"/>
      <c r="JF52" s="1240"/>
      <c r="JG52" s="1240"/>
      <c r="JH52" s="1240"/>
      <c r="JI52" s="1240"/>
      <c r="JJ52" s="1240"/>
      <c r="JK52" s="1240"/>
      <c r="JL52" s="1240"/>
      <c r="JM52" s="1240"/>
      <c r="JN52" s="1240"/>
      <c r="JO52" s="1240"/>
      <c r="JP52" s="1240"/>
      <c r="JQ52" s="1240"/>
      <c r="JR52" s="1240"/>
      <c r="JS52" s="1240"/>
      <c r="JT52" s="1240"/>
      <c r="JU52" s="1240"/>
      <c r="JV52" s="1240"/>
      <c r="JW52" s="1240"/>
      <c r="JX52" s="1240"/>
      <c r="JY52" s="1240"/>
      <c r="JZ52" s="1240"/>
      <c r="KA52" s="1240"/>
      <c r="KB52" s="1240"/>
      <c r="KC52" s="1240"/>
      <c r="KD52" s="1240"/>
      <c r="KE52" s="1240"/>
      <c r="KF52" s="1240"/>
      <c r="KG52" s="1240"/>
      <c r="KH52" s="1240"/>
      <c r="KI52" s="1240"/>
      <c r="KJ52" s="1240"/>
      <c r="KK52" s="1240"/>
      <c r="KL52" s="1240"/>
      <c r="KM52" s="1240"/>
      <c r="KN52" s="1240"/>
      <c r="KO52" s="1240"/>
      <c r="KP52" s="1240"/>
      <c r="KQ52" s="1240"/>
      <c r="KR52" s="1240"/>
      <c r="KS52" s="1240"/>
      <c r="KT52" s="1240"/>
      <c r="KU52" s="1240"/>
      <c r="KV52" s="1240"/>
      <c r="KW52" s="1240"/>
      <c r="KX52" s="1240"/>
      <c r="KY52" s="1240"/>
      <c r="KZ52" s="1240"/>
      <c r="LA52" s="1240"/>
      <c r="LB52" s="1240"/>
      <c r="LC52" s="1240"/>
      <c r="LD52" s="1240"/>
      <c r="LE52" s="1240"/>
      <c r="LF52" s="1240"/>
      <c r="LG52" s="1240"/>
      <c r="LH52" s="1240"/>
      <c r="LI52" s="1240"/>
      <c r="LJ52" s="1240"/>
      <c r="LK52" s="1240"/>
      <c r="LL52" s="1240"/>
      <c r="LM52" s="1240"/>
      <c r="LN52" s="1240"/>
      <c r="LO52" s="1240"/>
      <c r="LP52" s="1240"/>
      <c r="LQ52" s="1240"/>
      <c r="LR52" s="1240"/>
      <c r="LS52" s="1240"/>
      <c r="LT52" s="1240"/>
      <c r="LU52" s="1240"/>
      <c r="LV52" s="1240"/>
      <c r="LW52" s="1240"/>
      <c r="LX52" s="1240"/>
      <c r="LY52" s="1240"/>
      <c r="LZ52" s="1240"/>
      <c r="MA52" s="1240"/>
      <c r="MB52" s="1240"/>
      <c r="MC52" s="1240"/>
      <c r="MD52" s="1240"/>
      <c r="ME52" s="1240"/>
      <c r="MF52" s="1240"/>
      <c r="MG52" s="1240"/>
    </row>
    <row r="53" spans="1:345" ht="12.95" customHeight="1" x14ac:dyDescent="0.2">
      <c r="B53" s="355">
        <v>1</v>
      </c>
      <c r="C53" s="745" t="s">
        <v>440</v>
      </c>
      <c r="D53" s="745" t="s">
        <v>142</v>
      </c>
      <c r="E53" s="461">
        <v>15</v>
      </c>
      <c r="F53" s="474" t="s">
        <v>164</v>
      </c>
      <c r="G53" s="1831">
        <v>5</v>
      </c>
      <c r="H53" s="1831">
        <v>2</v>
      </c>
      <c r="I53" s="1831">
        <v>1</v>
      </c>
      <c r="J53" s="1844" t="s">
        <v>145</v>
      </c>
      <c r="K53" s="1831"/>
      <c r="L53" s="1849" t="s">
        <v>176</v>
      </c>
      <c r="M53" s="1850"/>
      <c r="N53" s="1851"/>
      <c r="O53" s="1852"/>
      <c r="P53" s="1853">
        <f>P54</f>
        <v>11300000</v>
      </c>
      <c r="Q53" s="1240"/>
      <c r="R53" s="1240"/>
    </row>
    <row r="54" spans="1:345" s="1240" customFormat="1" ht="15" customHeight="1" x14ac:dyDescent="0.2">
      <c r="B54" s="355">
        <v>1</v>
      </c>
      <c r="C54" s="745" t="s">
        <v>440</v>
      </c>
      <c r="D54" s="745" t="s">
        <v>142</v>
      </c>
      <c r="E54" s="461">
        <v>15</v>
      </c>
      <c r="F54" s="474" t="s">
        <v>164</v>
      </c>
      <c r="G54" s="1831">
        <v>5</v>
      </c>
      <c r="H54" s="1831">
        <v>2</v>
      </c>
      <c r="I54" s="1831">
        <v>1</v>
      </c>
      <c r="J54" s="1844" t="s">
        <v>145</v>
      </c>
      <c r="K54" s="1844" t="s">
        <v>164</v>
      </c>
      <c r="L54" s="118" t="s">
        <v>284</v>
      </c>
      <c r="M54" s="1396"/>
      <c r="N54" s="265"/>
      <c r="O54" s="266"/>
      <c r="P54" s="267">
        <f>SUM(P55:P59)</f>
        <v>11300000</v>
      </c>
    </row>
    <row r="55" spans="1:345" s="1240" customFormat="1" x14ac:dyDescent="0.2">
      <c r="B55" s="1832"/>
      <c r="C55" s="1844"/>
      <c r="D55" s="1844"/>
      <c r="E55" s="1833"/>
      <c r="F55" s="1844"/>
      <c r="G55" s="1831"/>
      <c r="H55" s="1831"/>
      <c r="I55" s="1831"/>
      <c r="J55" s="1844"/>
      <c r="K55" s="1844"/>
      <c r="L55" s="118" t="s">
        <v>291</v>
      </c>
      <c r="M55" s="1396">
        <v>12</v>
      </c>
      <c r="N55" s="265" t="s">
        <v>177</v>
      </c>
      <c r="O55" s="268">
        <v>300000</v>
      </c>
      <c r="P55" s="267">
        <f>O55*M55</f>
        <v>3600000</v>
      </c>
      <c r="R55" s="715"/>
    </row>
    <row r="56" spans="1:345" s="1240" customFormat="1" x14ac:dyDescent="0.2">
      <c r="B56" s="1832"/>
      <c r="C56" s="1844"/>
      <c r="D56" s="1844"/>
      <c r="E56" s="1833"/>
      <c r="F56" s="1844"/>
      <c r="G56" s="1831"/>
      <c r="H56" s="1831"/>
      <c r="I56" s="1831"/>
      <c r="J56" s="1844"/>
      <c r="K56" s="1844"/>
      <c r="L56" s="433" t="s">
        <v>292</v>
      </c>
      <c r="M56" s="1396">
        <v>6</v>
      </c>
      <c r="N56" s="265" t="s">
        <v>256</v>
      </c>
      <c r="O56" s="268">
        <v>300000</v>
      </c>
      <c r="P56" s="267">
        <f>O56*M56</f>
        <v>1800000</v>
      </c>
      <c r="R56" s="715"/>
    </row>
    <row r="57" spans="1:345" s="1240" customFormat="1" x14ac:dyDescent="0.2">
      <c r="B57" s="1832"/>
      <c r="C57" s="1844"/>
      <c r="D57" s="1844"/>
      <c r="E57" s="1833"/>
      <c r="F57" s="1833"/>
      <c r="G57" s="1831"/>
      <c r="H57" s="1831"/>
      <c r="I57" s="1831"/>
      <c r="J57" s="1844"/>
      <c r="K57" s="1831"/>
      <c r="L57" s="434" t="s">
        <v>293</v>
      </c>
      <c r="M57" s="1396">
        <v>6</v>
      </c>
      <c r="N57" s="265" t="s">
        <v>256</v>
      </c>
      <c r="O57" s="268">
        <v>300000</v>
      </c>
      <c r="P57" s="267">
        <f>O57*M57</f>
        <v>1800000</v>
      </c>
      <c r="R57" s="791"/>
    </row>
    <row r="58" spans="1:345" s="1240" customFormat="1" x14ac:dyDescent="0.2">
      <c r="B58" s="1832"/>
      <c r="C58" s="1844"/>
      <c r="D58" s="1844"/>
      <c r="E58" s="1833"/>
      <c r="F58" s="1833"/>
      <c r="G58" s="1831"/>
      <c r="H58" s="1831"/>
      <c r="I58" s="1831"/>
      <c r="J58" s="1844"/>
      <c r="K58" s="1844"/>
      <c r="L58" s="118" t="s">
        <v>294</v>
      </c>
      <c r="M58" s="1396">
        <v>11</v>
      </c>
      <c r="N58" s="265" t="s">
        <v>256</v>
      </c>
      <c r="O58" s="268">
        <v>100000</v>
      </c>
      <c r="P58" s="267">
        <f>O58*M58</f>
        <v>1100000</v>
      </c>
    </row>
    <row r="59" spans="1:345" s="1240" customFormat="1" x14ac:dyDescent="0.2">
      <c r="B59" s="1832"/>
      <c r="C59" s="1844"/>
      <c r="D59" s="1844"/>
      <c r="E59" s="1833"/>
      <c r="F59" s="1833"/>
      <c r="G59" s="1831"/>
      <c r="H59" s="1831"/>
      <c r="I59" s="1831"/>
      <c r="J59" s="1844"/>
      <c r="K59" s="1844"/>
      <c r="L59" s="435" t="s">
        <v>806</v>
      </c>
      <c r="M59" s="1396">
        <f>30*2</f>
        <v>60</v>
      </c>
      <c r="N59" s="265" t="s">
        <v>256</v>
      </c>
      <c r="O59" s="268">
        <v>50000</v>
      </c>
      <c r="P59" s="267">
        <f>O59*M59</f>
        <v>3000000</v>
      </c>
    </row>
    <row r="60" spans="1:345" s="1240" customFormat="1" x14ac:dyDescent="0.2">
      <c r="B60" s="1832"/>
      <c r="C60" s="1844"/>
      <c r="D60" s="1844"/>
      <c r="E60" s="1833"/>
      <c r="F60" s="1844"/>
      <c r="G60" s="1831"/>
      <c r="H60" s="1831"/>
      <c r="I60" s="1831"/>
      <c r="J60" s="1844"/>
      <c r="K60" s="1844"/>
      <c r="L60" s="137"/>
      <c r="M60" s="1396"/>
      <c r="N60" s="265"/>
      <c r="O60" s="268"/>
      <c r="P60" s="267"/>
    </row>
    <row r="61" spans="1:345" s="1240" customFormat="1" ht="12.95" customHeight="1" x14ac:dyDescent="0.2">
      <c r="B61" s="355">
        <v>1</v>
      </c>
      <c r="C61" s="745" t="s">
        <v>440</v>
      </c>
      <c r="D61" s="745" t="s">
        <v>142</v>
      </c>
      <c r="E61" s="461">
        <v>15</v>
      </c>
      <c r="F61" s="474" t="s">
        <v>164</v>
      </c>
      <c r="G61" s="1831">
        <v>5</v>
      </c>
      <c r="H61" s="1831">
        <v>2</v>
      </c>
      <c r="I61" s="1831">
        <v>2</v>
      </c>
      <c r="J61" s="1831"/>
      <c r="K61" s="1831"/>
      <c r="L61" s="1862" t="s">
        <v>120</v>
      </c>
      <c r="M61" s="1348"/>
      <c r="N61" s="1863"/>
      <c r="O61" s="361"/>
      <c r="P61" s="364">
        <f>P62+P71+P80+P87</f>
        <v>375405100</v>
      </c>
    </row>
    <row r="62" spans="1:345" s="1240" customFormat="1" ht="12.95" customHeight="1" x14ac:dyDescent="0.2">
      <c r="B62" s="355">
        <v>1</v>
      </c>
      <c r="C62" s="745" t="s">
        <v>440</v>
      </c>
      <c r="D62" s="745" t="s">
        <v>142</v>
      </c>
      <c r="E62" s="461">
        <v>15</v>
      </c>
      <c r="F62" s="474" t="s">
        <v>164</v>
      </c>
      <c r="G62" s="1831">
        <v>5</v>
      </c>
      <c r="H62" s="1831">
        <v>2</v>
      </c>
      <c r="I62" s="1831">
        <v>2</v>
      </c>
      <c r="J62" s="1844" t="s">
        <v>142</v>
      </c>
      <c r="K62" s="1831"/>
      <c r="L62" s="1849" t="s">
        <v>109</v>
      </c>
      <c r="M62" s="1348"/>
      <c r="N62" s="1864"/>
      <c r="O62" s="1865"/>
      <c r="P62" s="364">
        <f>P63</f>
        <v>332575</v>
      </c>
    </row>
    <row r="63" spans="1:345" s="1240" customFormat="1" ht="12.95" customHeight="1" x14ac:dyDescent="0.2">
      <c r="B63" s="355">
        <v>1</v>
      </c>
      <c r="C63" s="745" t="s">
        <v>440</v>
      </c>
      <c r="D63" s="745" t="s">
        <v>142</v>
      </c>
      <c r="E63" s="461">
        <v>15</v>
      </c>
      <c r="F63" s="474" t="s">
        <v>164</v>
      </c>
      <c r="G63" s="1831">
        <v>5</v>
      </c>
      <c r="H63" s="1831">
        <v>2</v>
      </c>
      <c r="I63" s="1831">
        <v>2</v>
      </c>
      <c r="J63" s="1844" t="s">
        <v>142</v>
      </c>
      <c r="K63" s="1844" t="s">
        <v>142</v>
      </c>
      <c r="L63" s="1637" t="s">
        <v>127</v>
      </c>
      <c r="M63" s="1348"/>
      <c r="N63" s="1863"/>
      <c r="O63" s="361"/>
      <c r="P63" s="483">
        <f>SUM(P64:P69)</f>
        <v>332575</v>
      </c>
      <c r="R63" s="1241"/>
    </row>
    <row r="64" spans="1:345" s="1240" customFormat="1" x14ac:dyDescent="0.2">
      <c r="B64" s="355"/>
      <c r="C64" s="745"/>
      <c r="D64" s="745"/>
      <c r="E64" s="461"/>
      <c r="F64" s="474"/>
      <c r="G64" s="1831"/>
      <c r="H64" s="1831"/>
      <c r="I64" s="1831"/>
      <c r="J64" s="1844"/>
      <c r="K64" s="1844"/>
      <c r="L64" s="392" t="s">
        <v>282</v>
      </c>
      <c r="M64" s="1385">
        <v>2</v>
      </c>
      <c r="N64" s="1326" t="s">
        <v>114</v>
      </c>
      <c r="O64" s="577">
        <v>65000</v>
      </c>
      <c r="P64" s="1336">
        <f t="shared" ref="P64" si="0">O64*M64</f>
        <v>130000</v>
      </c>
      <c r="R64" s="1241"/>
    </row>
    <row r="65" spans="2:20" s="1240" customFormat="1" x14ac:dyDescent="0.2">
      <c r="B65" s="1832"/>
      <c r="C65" s="1844"/>
      <c r="D65" s="1844"/>
      <c r="E65" s="1833"/>
      <c r="F65" s="1833"/>
      <c r="G65" s="1831"/>
      <c r="H65" s="1831"/>
      <c r="I65" s="1831"/>
      <c r="J65" s="1844"/>
      <c r="K65" s="1844"/>
      <c r="L65" s="294" t="s">
        <v>807</v>
      </c>
      <c r="M65" s="1804">
        <v>20</v>
      </c>
      <c r="N65" s="265" t="s">
        <v>495</v>
      </c>
      <c r="O65" s="268">
        <v>3130</v>
      </c>
      <c r="P65" s="267">
        <f>O65*M65</f>
        <v>62600</v>
      </c>
      <c r="R65" s="1805"/>
      <c r="T65" s="1243"/>
    </row>
    <row r="66" spans="2:20" s="1240" customFormat="1" x14ac:dyDescent="0.2">
      <c r="B66" s="1832"/>
      <c r="C66" s="1844"/>
      <c r="D66" s="1844"/>
      <c r="E66" s="1833"/>
      <c r="F66" s="1833"/>
      <c r="G66" s="1831"/>
      <c r="H66" s="1831"/>
      <c r="I66" s="1831"/>
      <c r="J66" s="1844"/>
      <c r="K66" s="1844"/>
      <c r="L66" s="294" t="s">
        <v>808</v>
      </c>
      <c r="M66" s="1804">
        <v>1</v>
      </c>
      <c r="N66" s="265" t="s">
        <v>771</v>
      </c>
      <c r="O66" s="268">
        <v>20000</v>
      </c>
      <c r="P66" s="267">
        <f>O66*M66</f>
        <v>20000</v>
      </c>
      <c r="Q66" s="1241"/>
    </row>
    <row r="67" spans="2:20" s="1240" customFormat="1" x14ac:dyDescent="0.2">
      <c r="B67" s="1832"/>
      <c r="C67" s="1844"/>
      <c r="D67" s="1844"/>
      <c r="E67" s="1833"/>
      <c r="F67" s="1833"/>
      <c r="G67" s="1831"/>
      <c r="H67" s="1831"/>
      <c r="I67" s="1831"/>
      <c r="J67" s="1844"/>
      <c r="K67" s="1844"/>
      <c r="L67" s="294" t="s">
        <v>809</v>
      </c>
      <c r="M67" s="1804">
        <v>1</v>
      </c>
      <c r="N67" s="265" t="s">
        <v>114</v>
      </c>
      <c r="O67" s="268">
        <v>60000</v>
      </c>
      <c r="P67" s="267">
        <f>O67*M67</f>
        <v>60000</v>
      </c>
      <c r="Q67" s="1241"/>
    </row>
    <row r="68" spans="2:20" s="1240" customFormat="1" x14ac:dyDescent="0.2">
      <c r="B68" s="1832"/>
      <c r="C68" s="1844"/>
      <c r="D68" s="1844"/>
      <c r="E68" s="1833"/>
      <c r="F68" s="1833"/>
      <c r="G68" s="1831"/>
      <c r="H68" s="1831"/>
      <c r="I68" s="1831"/>
      <c r="J68" s="1844"/>
      <c r="K68" s="1844"/>
      <c r="L68" s="294" t="s">
        <v>574</v>
      </c>
      <c r="M68" s="1804">
        <v>2</v>
      </c>
      <c r="N68" s="265" t="s">
        <v>495</v>
      </c>
      <c r="O68" s="268">
        <v>12775</v>
      </c>
      <c r="P68" s="267">
        <f>O68*M68</f>
        <v>25550</v>
      </c>
    </row>
    <row r="69" spans="2:20" s="1240" customFormat="1" x14ac:dyDescent="0.2">
      <c r="B69" s="1832"/>
      <c r="C69" s="1844"/>
      <c r="D69" s="1844"/>
      <c r="E69" s="1833"/>
      <c r="F69" s="1833"/>
      <c r="G69" s="1831"/>
      <c r="H69" s="1831"/>
      <c r="I69" s="1831"/>
      <c r="J69" s="1844"/>
      <c r="K69" s="1844"/>
      <c r="L69" s="294" t="s">
        <v>810</v>
      </c>
      <c r="M69" s="1804">
        <v>3</v>
      </c>
      <c r="N69" s="265" t="s">
        <v>495</v>
      </c>
      <c r="O69" s="268">
        <v>11475</v>
      </c>
      <c r="P69" s="267">
        <f>O69*M69</f>
        <v>34425</v>
      </c>
    </row>
    <row r="70" spans="2:20" s="1240" customFormat="1" x14ac:dyDescent="0.2">
      <c r="B70" s="355"/>
      <c r="C70" s="745"/>
      <c r="D70" s="745"/>
      <c r="E70" s="357"/>
      <c r="F70" s="745"/>
      <c r="G70" s="358"/>
      <c r="H70" s="358"/>
      <c r="I70" s="358"/>
      <c r="J70" s="358"/>
      <c r="K70" s="745"/>
      <c r="L70" s="117"/>
      <c r="M70" s="1483"/>
      <c r="N70" s="185"/>
      <c r="O70" s="270"/>
      <c r="P70" s="260"/>
    </row>
    <row r="71" spans="2:20" ht="13.5" customHeight="1" x14ac:dyDescent="0.2">
      <c r="B71" s="355">
        <v>1</v>
      </c>
      <c r="C71" s="745" t="s">
        <v>440</v>
      </c>
      <c r="D71" s="745" t="s">
        <v>142</v>
      </c>
      <c r="E71" s="461">
        <v>15</v>
      </c>
      <c r="F71" s="474" t="s">
        <v>164</v>
      </c>
      <c r="G71" s="358">
        <v>5</v>
      </c>
      <c r="H71" s="358">
        <v>2</v>
      </c>
      <c r="I71" s="358">
        <v>2</v>
      </c>
      <c r="J71" s="745" t="s">
        <v>164</v>
      </c>
      <c r="K71" s="358"/>
      <c r="L71" s="1849" t="s">
        <v>112</v>
      </c>
      <c r="M71" s="1348"/>
      <c r="N71" s="1864"/>
      <c r="O71" s="1865"/>
      <c r="P71" s="364">
        <f>P75+P72</f>
        <v>368000000</v>
      </c>
    </row>
    <row r="72" spans="2:20" ht="13.5" customHeight="1" x14ac:dyDescent="0.2">
      <c r="B72" s="355">
        <v>1</v>
      </c>
      <c r="C72" s="745" t="s">
        <v>440</v>
      </c>
      <c r="D72" s="745" t="s">
        <v>142</v>
      </c>
      <c r="E72" s="461">
        <v>15</v>
      </c>
      <c r="F72" s="474" t="s">
        <v>164</v>
      </c>
      <c r="G72" s="358">
        <v>5</v>
      </c>
      <c r="H72" s="358">
        <v>2</v>
      </c>
      <c r="I72" s="358">
        <v>2</v>
      </c>
      <c r="J72" s="745" t="s">
        <v>164</v>
      </c>
      <c r="K72" s="745">
        <v>12</v>
      </c>
      <c r="L72" s="295" t="s">
        <v>240</v>
      </c>
      <c r="M72" s="1483"/>
      <c r="N72" s="262"/>
      <c r="O72" s="868"/>
      <c r="P72" s="260">
        <f>SUM(P73:P74)</f>
        <v>248000000</v>
      </c>
    </row>
    <row r="73" spans="2:20" ht="13.5" customHeight="1" x14ac:dyDescent="0.2">
      <c r="B73" s="355"/>
      <c r="C73" s="745"/>
      <c r="D73" s="745"/>
      <c r="E73" s="357"/>
      <c r="F73" s="745"/>
      <c r="G73" s="358"/>
      <c r="H73" s="358"/>
      <c r="I73" s="358"/>
      <c r="J73" s="358"/>
      <c r="K73" s="745"/>
      <c r="L73" s="118" t="s">
        <v>1150</v>
      </c>
      <c r="M73" s="1396">
        <v>1</v>
      </c>
      <c r="N73" s="265" t="s">
        <v>128</v>
      </c>
      <c r="O73" s="268">
        <v>198000000</v>
      </c>
      <c r="P73" s="267">
        <f>O73*M73</f>
        <v>198000000</v>
      </c>
    </row>
    <row r="74" spans="2:20" ht="13.5" customHeight="1" x14ac:dyDescent="0.2">
      <c r="B74" s="355"/>
      <c r="C74" s="745"/>
      <c r="D74" s="745"/>
      <c r="E74" s="357"/>
      <c r="F74" s="745"/>
      <c r="G74" s="358"/>
      <c r="H74" s="358"/>
      <c r="I74" s="358"/>
      <c r="J74" s="358"/>
      <c r="K74" s="745"/>
      <c r="L74" s="118" t="s">
        <v>1152</v>
      </c>
      <c r="M74" s="1396">
        <v>2</v>
      </c>
      <c r="N74" s="265" t="s">
        <v>285</v>
      </c>
      <c r="O74" s="268">
        <v>25000000</v>
      </c>
      <c r="P74" s="267">
        <f>O74*M74</f>
        <v>50000000</v>
      </c>
    </row>
    <row r="75" spans="2:20" ht="15" customHeight="1" x14ac:dyDescent="0.2">
      <c r="B75" s="355">
        <v>1</v>
      </c>
      <c r="C75" s="745" t="s">
        <v>440</v>
      </c>
      <c r="D75" s="745" t="s">
        <v>142</v>
      </c>
      <c r="E75" s="461">
        <v>15</v>
      </c>
      <c r="F75" s="474" t="s">
        <v>164</v>
      </c>
      <c r="G75" s="358">
        <v>5</v>
      </c>
      <c r="H75" s="358">
        <v>2</v>
      </c>
      <c r="I75" s="358">
        <v>2</v>
      </c>
      <c r="J75" s="745" t="s">
        <v>164</v>
      </c>
      <c r="K75" s="745">
        <v>27</v>
      </c>
      <c r="L75" s="295" t="s">
        <v>427</v>
      </c>
      <c r="M75" s="1483"/>
      <c r="N75" s="262"/>
      <c r="O75" s="868"/>
      <c r="P75" s="260">
        <f>SUM(P76:P78)</f>
        <v>120000000</v>
      </c>
    </row>
    <row r="76" spans="2:20" x14ac:dyDescent="0.2">
      <c r="B76" s="355"/>
      <c r="C76" s="745"/>
      <c r="D76" s="745"/>
      <c r="E76" s="357"/>
      <c r="F76" s="745"/>
      <c r="G76" s="358"/>
      <c r="H76" s="358"/>
      <c r="I76" s="358"/>
      <c r="J76" s="358"/>
      <c r="K76" s="745"/>
      <c r="L76" s="118" t="s">
        <v>1040</v>
      </c>
      <c r="M76" s="1396">
        <v>18</v>
      </c>
      <c r="N76" s="265" t="s">
        <v>575</v>
      </c>
      <c r="O76" s="268">
        <v>0</v>
      </c>
      <c r="P76" s="267">
        <f>O76*M76</f>
        <v>0</v>
      </c>
    </row>
    <row r="77" spans="2:20" x14ac:dyDescent="0.2">
      <c r="B77" s="355"/>
      <c r="C77" s="745"/>
      <c r="D77" s="745"/>
      <c r="E77" s="357"/>
      <c r="F77" s="745"/>
      <c r="G77" s="358"/>
      <c r="H77" s="358"/>
      <c r="I77" s="358"/>
      <c r="J77" s="358"/>
      <c r="K77" s="745"/>
      <c r="L77" s="137" t="s">
        <v>1041</v>
      </c>
      <c r="M77" s="1396">
        <v>18</v>
      </c>
      <c r="N77" s="265" t="s">
        <v>575</v>
      </c>
      <c r="O77" s="268">
        <v>0</v>
      </c>
      <c r="P77" s="267">
        <f>O77*M77</f>
        <v>0</v>
      </c>
    </row>
    <row r="78" spans="2:20" x14ac:dyDescent="0.2">
      <c r="B78" s="355"/>
      <c r="C78" s="745"/>
      <c r="D78" s="745"/>
      <c r="E78" s="357"/>
      <c r="F78" s="745"/>
      <c r="G78" s="358"/>
      <c r="H78" s="358"/>
      <c r="I78" s="358"/>
      <c r="J78" s="358"/>
      <c r="K78" s="745"/>
      <c r="L78" s="435" t="s">
        <v>1053</v>
      </c>
      <c r="M78" s="1396">
        <f>2*12</f>
        <v>24</v>
      </c>
      <c r="N78" s="265" t="s">
        <v>106</v>
      </c>
      <c r="O78" s="268">
        <v>5000000</v>
      </c>
      <c r="P78" s="267">
        <f>O78*M78</f>
        <v>120000000</v>
      </c>
    </row>
    <row r="79" spans="2:20" x14ac:dyDescent="0.2">
      <c r="B79" s="355"/>
      <c r="C79" s="745"/>
      <c r="D79" s="745"/>
      <c r="E79" s="357"/>
      <c r="F79" s="745"/>
      <c r="G79" s="358"/>
      <c r="H79" s="358"/>
      <c r="I79" s="358"/>
      <c r="J79" s="358"/>
      <c r="K79" s="745"/>
      <c r="L79" s="182"/>
      <c r="M79" s="1483"/>
      <c r="N79" s="262"/>
      <c r="O79" s="868"/>
      <c r="P79" s="260"/>
    </row>
    <row r="80" spans="2:20" ht="12.95" customHeight="1" x14ac:dyDescent="0.2">
      <c r="B80" s="355">
        <v>1</v>
      </c>
      <c r="C80" s="745" t="s">
        <v>440</v>
      </c>
      <c r="D80" s="745" t="s">
        <v>142</v>
      </c>
      <c r="E80" s="461">
        <v>15</v>
      </c>
      <c r="F80" s="474" t="s">
        <v>164</v>
      </c>
      <c r="G80" s="358">
        <v>5</v>
      </c>
      <c r="H80" s="358">
        <v>2</v>
      </c>
      <c r="I80" s="358">
        <v>2</v>
      </c>
      <c r="J80" s="745" t="s">
        <v>144</v>
      </c>
      <c r="K80" s="358"/>
      <c r="L80" s="143" t="s">
        <v>115</v>
      </c>
      <c r="M80" s="1348"/>
      <c r="N80" s="1238"/>
      <c r="O80" s="1239"/>
      <c r="P80" s="269">
        <f>SUM(P81+P84)+175</f>
        <v>472525</v>
      </c>
    </row>
    <row r="81" spans="2:21" ht="12.95" customHeight="1" x14ac:dyDescent="0.2">
      <c r="B81" s="355">
        <v>1</v>
      </c>
      <c r="C81" s="745" t="s">
        <v>440</v>
      </c>
      <c r="D81" s="745" t="s">
        <v>142</v>
      </c>
      <c r="E81" s="461">
        <v>15</v>
      </c>
      <c r="F81" s="474" t="s">
        <v>164</v>
      </c>
      <c r="G81" s="358">
        <v>5</v>
      </c>
      <c r="H81" s="358">
        <v>2</v>
      </c>
      <c r="I81" s="358">
        <v>2</v>
      </c>
      <c r="J81" s="745" t="s">
        <v>144</v>
      </c>
      <c r="K81" s="745" t="s">
        <v>142</v>
      </c>
      <c r="L81" s="199" t="s">
        <v>588</v>
      </c>
      <c r="M81" s="1348"/>
      <c r="N81" s="266"/>
      <c r="O81" s="341"/>
      <c r="P81" s="267">
        <f>P82+P83</f>
        <v>307500</v>
      </c>
    </row>
    <row r="82" spans="2:21" ht="12.95" customHeight="1" x14ac:dyDescent="0.2">
      <c r="B82" s="355"/>
      <c r="C82" s="358"/>
      <c r="D82" s="358"/>
      <c r="E82" s="358"/>
      <c r="F82" s="358"/>
      <c r="G82" s="358"/>
      <c r="H82" s="358"/>
      <c r="I82" s="1834"/>
      <c r="J82" s="1834"/>
      <c r="K82" s="745"/>
      <c r="L82" s="197" t="s">
        <v>428</v>
      </c>
      <c r="M82" s="1348">
        <v>10</v>
      </c>
      <c r="N82" s="265" t="s">
        <v>429</v>
      </c>
      <c r="O82" s="1495">
        <v>12500</v>
      </c>
      <c r="P82" s="260">
        <f>O82*M82</f>
        <v>125000</v>
      </c>
    </row>
    <row r="83" spans="2:21" ht="12.95" customHeight="1" x14ac:dyDescent="0.2">
      <c r="B83" s="355"/>
      <c r="C83" s="358"/>
      <c r="D83" s="358"/>
      <c r="E83" s="358"/>
      <c r="F83" s="358"/>
      <c r="G83" s="358"/>
      <c r="H83" s="358"/>
      <c r="I83" s="1834"/>
      <c r="J83" s="1834"/>
      <c r="K83" s="745"/>
      <c r="L83" s="38" t="s">
        <v>556</v>
      </c>
      <c r="M83" s="1717">
        <v>4</v>
      </c>
      <c r="N83" s="821" t="s">
        <v>553</v>
      </c>
      <c r="O83" s="822">
        <v>45625</v>
      </c>
      <c r="P83" s="260">
        <f>O83*M83</f>
        <v>182500</v>
      </c>
    </row>
    <row r="84" spans="2:21" ht="12.95" customHeight="1" x14ac:dyDescent="0.2">
      <c r="B84" s="355">
        <v>1</v>
      </c>
      <c r="C84" s="745" t="s">
        <v>440</v>
      </c>
      <c r="D84" s="745" t="s">
        <v>142</v>
      </c>
      <c r="E84" s="461">
        <v>15</v>
      </c>
      <c r="F84" s="474" t="s">
        <v>164</v>
      </c>
      <c r="G84" s="358">
        <v>5</v>
      </c>
      <c r="H84" s="358">
        <v>2</v>
      </c>
      <c r="I84" s="358">
        <v>2</v>
      </c>
      <c r="J84" s="745" t="s">
        <v>144</v>
      </c>
      <c r="K84" s="745" t="s">
        <v>145</v>
      </c>
      <c r="L84" s="199" t="s">
        <v>121</v>
      </c>
      <c r="M84" s="1348"/>
      <c r="N84" s="266"/>
      <c r="O84" s="341"/>
      <c r="P84" s="267">
        <f>SUM(P85:P85)</f>
        <v>164850</v>
      </c>
    </row>
    <row r="85" spans="2:21" ht="12.95" customHeight="1" x14ac:dyDescent="0.2">
      <c r="B85" s="355"/>
      <c r="C85" s="745"/>
      <c r="D85" s="745"/>
      <c r="E85" s="357"/>
      <c r="F85" s="745"/>
      <c r="G85" s="358"/>
      <c r="H85" s="358"/>
      <c r="I85" s="358"/>
      <c r="J85" s="358"/>
      <c r="K85" s="745"/>
      <c r="L85" s="37" t="s">
        <v>646</v>
      </c>
      <c r="M85" s="1483">
        <v>471</v>
      </c>
      <c r="N85" s="185" t="s">
        <v>113</v>
      </c>
      <c r="O85" s="270">
        <v>350</v>
      </c>
      <c r="P85" s="260">
        <f>O85*M85</f>
        <v>164850</v>
      </c>
    </row>
    <row r="86" spans="2:21" ht="12.95" customHeight="1" x14ac:dyDescent="0.2">
      <c r="B86" s="355"/>
      <c r="C86" s="745"/>
      <c r="D86" s="745"/>
      <c r="E86" s="357"/>
      <c r="F86" s="745"/>
      <c r="G86" s="358"/>
      <c r="H86" s="358"/>
      <c r="I86" s="358"/>
      <c r="J86" s="358"/>
      <c r="K86" s="745"/>
      <c r="L86" s="200"/>
      <c r="M86" s="1483"/>
      <c r="N86" s="185"/>
      <c r="O86" s="270"/>
      <c r="P86" s="260"/>
      <c r="R86" s="1245"/>
      <c r="S86" s="1246"/>
      <c r="T86" s="1246"/>
      <c r="U86" s="1247"/>
    </row>
    <row r="87" spans="2:21" ht="12.95" customHeight="1" x14ac:dyDescent="0.2">
      <c r="B87" s="355">
        <v>1</v>
      </c>
      <c r="C87" s="745" t="s">
        <v>440</v>
      </c>
      <c r="D87" s="745" t="s">
        <v>142</v>
      </c>
      <c r="E87" s="461">
        <v>15</v>
      </c>
      <c r="F87" s="474" t="s">
        <v>164</v>
      </c>
      <c r="G87" s="358">
        <v>5</v>
      </c>
      <c r="H87" s="358">
        <v>2</v>
      </c>
      <c r="I87" s="358">
        <v>2</v>
      </c>
      <c r="J87" s="745">
        <v>11</v>
      </c>
      <c r="K87" s="358"/>
      <c r="L87" s="143" t="s">
        <v>295</v>
      </c>
      <c r="M87" s="1348"/>
      <c r="N87" s="1238"/>
      <c r="O87" s="1239"/>
      <c r="P87" s="269">
        <f>P88+P91+P94+P97</f>
        <v>6600000</v>
      </c>
      <c r="R87" s="1246"/>
      <c r="S87" s="1246"/>
      <c r="T87" s="1246"/>
      <c r="U87" s="1247"/>
    </row>
    <row r="88" spans="2:21" ht="30" customHeight="1" x14ac:dyDescent="0.2">
      <c r="B88" s="355">
        <v>1</v>
      </c>
      <c r="C88" s="745" t="s">
        <v>440</v>
      </c>
      <c r="D88" s="745" t="s">
        <v>142</v>
      </c>
      <c r="E88" s="461">
        <v>15</v>
      </c>
      <c r="F88" s="474" t="s">
        <v>164</v>
      </c>
      <c r="G88" s="358">
        <v>5</v>
      </c>
      <c r="H88" s="358">
        <v>2</v>
      </c>
      <c r="I88" s="358">
        <v>2</v>
      </c>
      <c r="J88" s="745">
        <v>11</v>
      </c>
      <c r="K88" s="745" t="s">
        <v>168</v>
      </c>
      <c r="L88" s="1637" t="s">
        <v>1042</v>
      </c>
      <c r="M88" s="1348"/>
      <c r="N88" s="1863"/>
      <c r="O88" s="361"/>
      <c r="P88" s="483">
        <f>SUM(P89:P90)</f>
        <v>1200000</v>
      </c>
      <c r="R88" s="1246"/>
      <c r="S88" s="1246"/>
      <c r="T88" s="1246"/>
      <c r="U88" s="1247"/>
    </row>
    <row r="89" spans="2:21" ht="12.95" customHeight="1" x14ac:dyDescent="0.2">
      <c r="B89" s="355"/>
      <c r="C89" s="745"/>
      <c r="D89" s="745"/>
      <c r="E89" s="461"/>
      <c r="F89" s="474"/>
      <c r="G89" s="358"/>
      <c r="H89" s="358"/>
      <c r="I89" s="358"/>
      <c r="J89" s="745"/>
      <c r="K89" s="745"/>
      <c r="L89" s="26" t="s">
        <v>719</v>
      </c>
      <c r="M89" s="1483">
        <f>1*40</f>
        <v>40</v>
      </c>
      <c r="N89" s="185" t="s">
        <v>259</v>
      </c>
      <c r="O89" s="270">
        <v>15000</v>
      </c>
      <c r="P89" s="260">
        <f>O89*M89</f>
        <v>600000</v>
      </c>
      <c r="R89" s="1246"/>
      <c r="S89" s="1246"/>
      <c r="T89" s="1246"/>
      <c r="U89" s="1247"/>
    </row>
    <row r="90" spans="2:21" ht="12.95" customHeight="1" x14ac:dyDescent="0.2">
      <c r="B90" s="355"/>
      <c r="C90" s="745"/>
      <c r="D90" s="745"/>
      <c r="E90" s="461"/>
      <c r="F90" s="474"/>
      <c r="G90" s="358"/>
      <c r="H90" s="358"/>
      <c r="I90" s="358"/>
      <c r="J90" s="745"/>
      <c r="K90" s="745"/>
      <c r="L90" s="436" t="s">
        <v>720</v>
      </c>
      <c r="M90" s="1806">
        <f>1*2*40</f>
        <v>80</v>
      </c>
      <c r="N90" s="1143" t="s">
        <v>259</v>
      </c>
      <c r="O90" s="1248">
        <v>7500</v>
      </c>
      <c r="P90" s="1249">
        <f>O90*M90</f>
        <v>600000</v>
      </c>
      <c r="R90" s="1246"/>
      <c r="S90" s="1246"/>
      <c r="T90" s="1246"/>
      <c r="U90" s="1247"/>
    </row>
    <row r="91" spans="2:21" ht="30" customHeight="1" x14ac:dyDescent="0.2">
      <c r="B91" s="355"/>
      <c r="C91" s="745"/>
      <c r="D91" s="745"/>
      <c r="E91" s="461"/>
      <c r="F91" s="474"/>
      <c r="G91" s="358"/>
      <c r="H91" s="358"/>
      <c r="I91" s="358"/>
      <c r="J91" s="745"/>
      <c r="K91" s="745"/>
      <c r="L91" s="1866" t="s">
        <v>1043</v>
      </c>
      <c r="M91" s="1348"/>
      <c r="N91" s="362"/>
      <c r="O91" s="1863"/>
      <c r="P91" s="1867">
        <f>SUM(P92:P93)</f>
        <v>1800000</v>
      </c>
      <c r="R91" s="1246"/>
      <c r="S91" s="1246"/>
      <c r="T91" s="1246"/>
      <c r="U91" s="1247"/>
    </row>
    <row r="92" spans="2:21" ht="12.95" customHeight="1" x14ac:dyDescent="0.2">
      <c r="B92" s="355"/>
      <c r="C92" s="745"/>
      <c r="D92" s="745"/>
      <c r="E92" s="461"/>
      <c r="F92" s="474"/>
      <c r="G92" s="358"/>
      <c r="H92" s="358"/>
      <c r="I92" s="358"/>
      <c r="J92" s="745"/>
      <c r="K92" s="745"/>
      <c r="L92" s="117" t="s">
        <v>1044</v>
      </c>
      <c r="M92" s="1483">
        <f>1*2*30</f>
        <v>60</v>
      </c>
      <c r="N92" s="185" t="s">
        <v>259</v>
      </c>
      <c r="O92" s="270">
        <v>15000</v>
      </c>
      <c r="P92" s="1807">
        <f>O92*M92</f>
        <v>900000</v>
      </c>
      <c r="R92" s="1246"/>
      <c r="S92" s="1246"/>
      <c r="T92" s="1246"/>
      <c r="U92" s="1247"/>
    </row>
    <row r="93" spans="2:21" ht="12.95" customHeight="1" x14ac:dyDescent="0.2">
      <c r="B93" s="355"/>
      <c r="C93" s="745"/>
      <c r="D93" s="745"/>
      <c r="E93" s="461"/>
      <c r="F93" s="474"/>
      <c r="G93" s="358"/>
      <c r="H93" s="358"/>
      <c r="I93" s="358"/>
      <c r="J93" s="745"/>
      <c r="K93" s="745"/>
      <c r="L93" s="1808" t="s">
        <v>1045</v>
      </c>
      <c r="M93" s="1806">
        <f>2*2*30</f>
        <v>120</v>
      </c>
      <c r="N93" s="1143" t="s">
        <v>259</v>
      </c>
      <c r="O93" s="1248">
        <v>7500</v>
      </c>
      <c r="P93" s="1809">
        <f>O93*M93</f>
        <v>900000</v>
      </c>
      <c r="R93" s="1246"/>
      <c r="S93" s="1246"/>
      <c r="T93" s="1246"/>
      <c r="U93" s="1247"/>
    </row>
    <row r="94" spans="2:21" ht="15" customHeight="1" x14ac:dyDescent="0.2">
      <c r="B94" s="355"/>
      <c r="C94" s="745"/>
      <c r="D94" s="745"/>
      <c r="E94" s="461"/>
      <c r="F94" s="474"/>
      <c r="G94" s="358"/>
      <c r="H94" s="358"/>
      <c r="I94" s="358"/>
      <c r="J94" s="745"/>
      <c r="K94" s="745"/>
      <c r="L94" s="1868" t="s">
        <v>1046</v>
      </c>
      <c r="M94" s="1348"/>
      <c r="N94" s="362"/>
      <c r="O94" s="1863"/>
      <c r="P94" s="1867">
        <f>SUM(P95:P96)</f>
        <v>2700000</v>
      </c>
      <c r="R94" s="1246"/>
      <c r="S94" s="1246"/>
      <c r="T94" s="1246"/>
      <c r="U94" s="1247"/>
    </row>
    <row r="95" spans="2:21" ht="12.95" customHeight="1" x14ac:dyDescent="0.2">
      <c r="B95" s="355"/>
      <c r="C95" s="745"/>
      <c r="D95" s="745"/>
      <c r="E95" s="461"/>
      <c r="F95" s="474"/>
      <c r="G95" s="358"/>
      <c r="H95" s="358"/>
      <c r="I95" s="358"/>
      <c r="J95" s="745"/>
      <c r="K95" s="745"/>
      <c r="L95" s="117" t="s">
        <v>1047</v>
      </c>
      <c r="M95" s="1806">
        <f>1*2*60</f>
        <v>120</v>
      </c>
      <c r="N95" s="185" t="s">
        <v>259</v>
      </c>
      <c r="O95" s="270">
        <v>15000</v>
      </c>
      <c r="P95" s="1807">
        <f>O95*M95</f>
        <v>1800000</v>
      </c>
      <c r="R95" s="1246"/>
      <c r="S95" s="1246"/>
      <c r="T95" s="1246"/>
      <c r="U95" s="1247"/>
    </row>
    <row r="96" spans="2:21" ht="12.95" customHeight="1" x14ac:dyDescent="0.2">
      <c r="B96" s="355"/>
      <c r="C96" s="745"/>
      <c r="D96" s="745"/>
      <c r="E96" s="461"/>
      <c r="F96" s="474"/>
      <c r="G96" s="358"/>
      <c r="H96" s="358"/>
      <c r="I96" s="358"/>
      <c r="J96" s="745"/>
      <c r="K96" s="745"/>
      <c r="L96" s="1808" t="s">
        <v>1048</v>
      </c>
      <c r="M96" s="1806">
        <f>1*2*60</f>
        <v>120</v>
      </c>
      <c r="N96" s="1143" t="s">
        <v>259</v>
      </c>
      <c r="O96" s="1248">
        <v>7500</v>
      </c>
      <c r="P96" s="1809">
        <f>O96*M96</f>
        <v>900000</v>
      </c>
      <c r="R96" s="1246"/>
      <c r="S96" s="1246"/>
      <c r="T96" s="1246"/>
      <c r="U96" s="1247"/>
    </row>
    <row r="97" spans="2:21" ht="30" customHeight="1" x14ac:dyDescent="0.2">
      <c r="B97" s="355"/>
      <c r="C97" s="745"/>
      <c r="D97" s="745"/>
      <c r="E97" s="461"/>
      <c r="F97" s="474"/>
      <c r="G97" s="358"/>
      <c r="H97" s="358"/>
      <c r="I97" s="358"/>
      <c r="J97" s="745"/>
      <c r="K97" s="745"/>
      <c r="L97" s="1868" t="s">
        <v>1049</v>
      </c>
      <c r="M97" s="1348"/>
      <c r="N97" s="362"/>
      <c r="O97" s="1863"/>
      <c r="P97" s="1867">
        <f>SUM(P98:P98)</f>
        <v>900000</v>
      </c>
      <c r="Q97" s="925"/>
      <c r="R97" s="1246"/>
      <c r="S97" s="1246"/>
      <c r="T97" s="1246"/>
      <c r="U97" s="1247"/>
    </row>
    <row r="98" spans="2:21" ht="12.95" customHeight="1" x14ac:dyDescent="0.2">
      <c r="B98" s="1828"/>
      <c r="C98" s="1841"/>
      <c r="D98" s="1841"/>
      <c r="E98" s="1829"/>
      <c r="F98" s="1841"/>
      <c r="G98" s="1830"/>
      <c r="H98" s="1830"/>
      <c r="I98" s="1830"/>
      <c r="J98" s="1830"/>
      <c r="K98" s="1841"/>
      <c r="L98" s="1808" t="s">
        <v>1050</v>
      </c>
      <c r="M98" s="1806">
        <f>1*2*60</f>
        <v>120</v>
      </c>
      <c r="N98" s="1143" t="s">
        <v>259</v>
      </c>
      <c r="O98" s="1248">
        <v>7500</v>
      </c>
      <c r="P98" s="1809">
        <f>O98*M98</f>
        <v>900000</v>
      </c>
      <c r="Q98" s="925"/>
      <c r="R98" s="1246"/>
      <c r="S98" s="1246"/>
      <c r="T98" s="1246"/>
      <c r="U98" s="1247"/>
    </row>
    <row r="99" spans="2:21" ht="12.95" customHeight="1" x14ac:dyDescent="0.2">
      <c r="B99" s="1828"/>
      <c r="C99" s="1841"/>
      <c r="D99" s="1841"/>
      <c r="E99" s="1829"/>
      <c r="F99" s="1841"/>
      <c r="G99" s="1830"/>
      <c r="H99" s="1830"/>
      <c r="I99" s="1830"/>
      <c r="J99" s="1830"/>
      <c r="K99" s="1841"/>
      <c r="L99" s="1810"/>
      <c r="M99" s="1811"/>
      <c r="N99" s="1812"/>
      <c r="O99" s="1813"/>
      <c r="P99" s="1814"/>
      <c r="Q99" s="925"/>
      <c r="R99" s="1246"/>
      <c r="S99" s="1246"/>
      <c r="T99" s="1246"/>
      <c r="U99" s="1247"/>
    </row>
    <row r="100" spans="2:21" ht="12.95" customHeight="1" thickBot="1" x14ac:dyDescent="0.25">
      <c r="B100" s="1845"/>
      <c r="C100" s="1846"/>
      <c r="D100" s="1846"/>
      <c r="E100" s="1846"/>
      <c r="F100" s="1846"/>
      <c r="G100" s="1846"/>
      <c r="H100" s="1846"/>
      <c r="I100" s="1847"/>
      <c r="J100" s="1847"/>
      <c r="K100" s="1848"/>
      <c r="L100" s="197"/>
      <c r="M100" s="1348"/>
      <c r="N100" s="265"/>
      <c r="O100" s="1495"/>
      <c r="P100" s="1250"/>
      <c r="Q100" s="1815" t="s">
        <v>1051</v>
      </c>
      <c r="R100" s="1816" t="s">
        <v>1052</v>
      </c>
      <c r="S100" s="1246"/>
      <c r="T100" s="1246"/>
      <c r="U100" s="1247"/>
    </row>
    <row r="101" spans="2:21" ht="12.95" customHeight="1" thickBot="1" x14ac:dyDescent="0.25">
      <c r="B101" s="110"/>
      <c r="C101" s="107"/>
      <c r="D101" s="107"/>
      <c r="E101" s="107"/>
      <c r="F101" s="107"/>
      <c r="G101" s="107"/>
      <c r="H101" s="107"/>
      <c r="I101" s="107"/>
      <c r="J101" s="107"/>
      <c r="K101" s="107"/>
      <c r="L101" s="107"/>
      <c r="M101" s="2620" t="s">
        <v>199</v>
      </c>
      <c r="N101" s="2620"/>
      <c r="O101" s="2621"/>
      <c r="P101" s="273">
        <f>P30</f>
        <v>388505100</v>
      </c>
      <c r="Q101" s="1817">
        <v>21397600</v>
      </c>
      <c r="R101" s="1818">
        <f>P101-Q101</f>
        <v>367107500</v>
      </c>
      <c r="S101" s="1246"/>
      <c r="T101" s="1246"/>
      <c r="U101" s="1247"/>
    </row>
    <row r="102" spans="2:21" ht="12.95" customHeight="1" x14ac:dyDescent="0.2">
      <c r="B102" s="1214"/>
      <c r="C102" s="1215"/>
      <c r="D102" s="1215"/>
      <c r="E102" s="1215"/>
      <c r="F102" s="1215"/>
      <c r="G102" s="1215"/>
      <c r="H102" s="1215"/>
      <c r="I102" s="1215"/>
      <c r="J102" s="1215"/>
      <c r="K102" s="1215"/>
      <c r="L102" s="1215"/>
      <c r="M102" s="1215"/>
      <c r="N102" s="1215"/>
      <c r="O102" s="1215"/>
      <c r="P102" s="1251"/>
      <c r="Q102" s="908"/>
      <c r="R102" s="1246"/>
      <c r="S102" s="1246"/>
      <c r="T102" s="1246"/>
      <c r="U102" s="1247"/>
    </row>
    <row r="103" spans="2:21" ht="12.95" customHeight="1" x14ac:dyDescent="0.2">
      <c r="B103" s="170"/>
      <c r="C103" s="131"/>
      <c r="D103" s="131"/>
      <c r="E103" s="131"/>
      <c r="F103" s="131"/>
      <c r="G103" s="131"/>
      <c r="H103" s="131"/>
      <c r="I103" s="131"/>
      <c r="J103" s="131"/>
      <c r="K103" s="131"/>
      <c r="L103" s="144"/>
      <c r="M103" s="2506" t="str">
        <f>'SMART WARNET'!M67:P67</f>
        <v>Banda Aceh,                   2020</v>
      </c>
      <c r="N103" s="2506"/>
      <c r="O103" s="2506"/>
      <c r="P103" s="2507"/>
      <c r="R103" s="1353"/>
      <c r="T103" s="721"/>
    </row>
    <row r="104" spans="2:21" ht="12.95" customHeight="1" x14ac:dyDescent="0.2">
      <c r="B104" s="170"/>
      <c r="C104" s="131"/>
      <c r="D104" s="131"/>
      <c r="E104" s="131"/>
      <c r="F104" s="131"/>
      <c r="G104" s="131"/>
      <c r="H104" s="131"/>
      <c r="I104" s="131"/>
      <c r="J104" s="131"/>
      <c r="K104" s="131"/>
      <c r="L104" s="131"/>
      <c r="M104" s="2449" t="str">
        <f>'SMART WARNET'!M68:P68</f>
        <v>Pengguna Anggaran</v>
      </c>
      <c r="N104" s="2449"/>
      <c r="O104" s="2449"/>
      <c r="P104" s="2600"/>
      <c r="R104" s="1241"/>
    </row>
    <row r="105" spans="2:21" x14ac:dyDescent="0.2">
      <c r="B105" s="170"/>
      <c r="C105" s="131"/>
      <c r="D105" s="131"/>
      <c r="E105" s="131"/>
      <c r="F105" s="131"/>
      <c r="G105" s="131"/>
      <c r="H105" s="131"/>
      <c r="I105" s="131"/>
      <c r="J105" s="131"/>
      <c r="K105" s="131"/>
      <c r="L105" s="131"/>
      <c r="M105" s="2449" t="str">
        <f>'SMART WARNET'!M69:P69</f>
        <v>Satuan Kerja Perangkat Daerah</v>
      </c>
      <c r="N105" s="2449"/>
      <c r="O105" s="2449"/>
      <c r="P105" s="2600"/>
    </row>
    <row r="106" spans="2:21" x14ac:dyDescent="0.2">
      <c r="B106" s="170"/>
      <c r="C106" s="131"/>
      <c r="D106" s="131"/>
      <c r="E106" s="131"/>
      <c r="F106" s="131"/>
      <c r="G106" s="131"/>
      <c r="H106" s="131"/>
      <c r="I106" s="131"/>
      <c r="J106" s="131"/>
      <c r="K106" s="131"/>
      <c r="L106" s="1784"/>
      <c r="M106" s="1791"/>
      <c r="N106" s="2739"/>
      <c r="O106" s="2739"/>
      <c r="P106" s="2740"/>
    </row>
    <row r="107" spans="2:21" x14ac:dyDescent="0.2">
      <c r="B107" s="170"/>
      <c r="C107" s="131"/>
      <c r="D107" s="131"/>
      <c r="E107" s="131"/>
      <c r="F107" s="131"/>
      <c r="G107" s="131"/>
      <c r="H107" s="131"/>
      <c r="I107" s="131"/>
      <c r="J107" s="131"/>
      <c r="K107" s="131"/>
      <c r="L107" s="1221"/>
      <c r="M107" s="1791"/>
      <c r="N107" s="2739"/>
      <c r="O107" s="2739"/>
      <c r="P107" s="2740"/>
    </row>
    <row r="108" spans="2:21" ht="14.25" x14ac:dyDescent="0.2">
      <c r="B108" s="170"/>
      <c r="C108" s="131"/>
      <c r="D108" s="131"/>
      <c r="E108" s="131"/>
      <c r="F108" s="131"/>
      <c r="G108" s="131"/>
      <c r="H108" s="131"/>
      <c r="I108" s="131"/>
      <c r="J108" s="131"/>
      <c r="K108" s="131"/>
      <c r="L108" s="22"/>
      <c r="M108" s="2199" t="str">
        <f>'SMART WARNET'!M72:P72</f>
        <v>Bustami, SH</v>
      </c>
      <c r="N108" s="2199"/>
      <c r="O108" s="2199"/>
      <c r="P108" s="2200"/>
      <c r="Q108" s="1254"/>
    </row>
    <row r="109" spans="2:21" ht="14.1" customHeight="1" x14ac:dyDescent="0.2">
      <c r="B109" s="170"/>
      <c r="C109" s="131"/>
      <c r="D109" s="131"/>
      <c r="E109" s="131"/>
      <c r="F109" s="131"/>
      <c r="G109" s="131"/>
      <c r="H109" s="131"/>
      <c r="I109" s="131"/>
      <c r="J109" s="131"/>
      <c r="K109" s="131"/>
      <c r="L109" s="22"/>
      <c r="M109" s="2573" t="str">
        <f>'RECAP APBD'!E49</f>
        <v>Pembina Utama Muda / Nip. 19630824 198703 1 004</v>
      </c>
      <c r="N109" s="2573"/>
      <c r="O109" s="2573"/>
      <c r="P109" s="2574"/>
      <c r="Q109" s="1254"/>
    </row>
    <row r="110" spans="2:21" ht="14.25" x14ac:dyDescent="0.2">
      <c r="B110" s="2501" t="s">
        <v>140</v>
      </c>
      <c r="C110" s="2502"/>
      <c r="D110" s="2502"/>
      <c r="E110" s="2502"/>
      <c r="F110" s="2502"/>
      <c r="G110" s="2502"/>
      <c r="H110" s="2502"/>
      <c r="I110" s="2502"/>
      <c r="J110" s="2502"/>
      <c r="K110" s="2502"/>
      <c r="L110" s="2502"/>
      <c r="M110" s="2513"/>
      <c r="N110" s="2513"/>
      <c r="O110" s="2513"/>
      <c r="P110" s="2514"/>
      <c r="Q110" s="170"/>
      <c r="S110" s="1240"/>
    </row>
    <row r="111" spans="2:21" ht="14.25" x14ac:dyDescent="0.2">
      <c r="B111" s="2501" t="s">
        <v>22</v>
      </c>
      <c r="C111" s="2502"/>
      <c r="D111" s="2502"/>
      <c r="E111" s="2502"/>
      <c r="F111" s="2502"/>
      <c r="G111" s="2502"/>
      <c r="H111" s="2502"/>
      <c r="I111" s="2502"/>
      <c r="J111" s="2502"/>
      <c r="K111" s="2502"/>
      <c r="L111" s="2502"/>
      <c r="M111" s="251"/>
      <c r="N111" s="2508"/>
      <c r="O111" s="2508"/>
      <c r="P111" s="2509"/>
    </row>
    <row r="112" spans="2:21" ht="14.25" x14ac:dyDescent="0.2">
      <c r="B112" s="2501" t="s">
        <v>21</v>
      </c>
      <c r="C112" s="2502"/>
      <c r="D112" s="2502"/>
      <c r="E112" s="2502"/>
      <c r="F112" s="2502"/>
      <c r="G112" s="2502"/>
      <c r="H112" s="2502"/>
      <c r="I112" s="2502"/>
      <c r="J112" s="2502"/>
      <c r="K112" s="2502"/>
      <c r="L112" s="2502"/>
      <c r="M112" s="251"/>
      <c r="N112" s="2503"/>
      <c r="O112" s="2503"/>
      <c r="P112" s="2504"/>
    </row>
    <row r="113" spans="2:20" ht="14.25" x14ac:dyDescent="0.2">
      <c r="B113" s="2501" t="s">
        <v>204</v>
      </c>
      <c r="C113" s="2502"/>
      <c r="D113" s="2502"/>
      <c r="E113" s="2502"/>
      <c r="F113" s="2502"/>
      <c r="G113" s="2502"/>
      <c r="H113" s="2502"/>
      <c r="I113" s="2502"/>
      <c r="J113" s="2502"/>
      <c r="K113" s="2502"/>
      <c r="L113" s="2502"/>
      <c r="M113" s="2502"/>
      <c r="N113" s="2502"/>
      <c r="O113" s="2502"/>
      <c r="P113" s="2505"/>
    </row>
    <row r="114" spans="2:20" ht="14.25" x14ac:dyDescent="0.2">
      <c r="B114" s="2501" t="s">
        <v>205</v>
      </c>
      <c r="C114" s="2502"/>
      <c r="D114" s="2502"/>
      <c r="E114" s="2502"/>
      <c r="F114" s="2502"/>
      <c r="G114" s="2502"/>
      <c r="H114" s="2502"/>
      <c r="I114" s="2502"/>
      <c r="J114" s="2502"/>
      <c r="K114" s="2502"/>
      <c r="L114" s="2502"/>
      <c r="M114" s="2502"/>
      <c r="N114" s="2502"/>
      <c r="O114" s="2502"/>
      <c r="P114" s="2505"/>
    </row>
    <row r="115" spans="2:20" ht="15" thickBot="1" x14ac:dyDescent="0.25">
      <c r="B115" s="2517" t="s">
        <v>206</v>
      </c>
      <c r="C115" s="2518"/>
      <c r="D115" s="2518"/>
      <c r="E115" s="2518"/>
      <c r="F115" s="2518"/>
      <c r="G115" s="2518"/>
      <c r="H115" s="2518"/>
      <c r="I115" s="2518"/>
      <c r="J115" s="2518"/>
      <c r="K115" s="2518"/>
      <c r="L115" s="2518"/>
      <c r="M115" s="2518"/>
      <c r="N115" s="2518"/>
      <c r="O115" s="2518"/>
      <c r="P115" s="2519"/>
    </row>
    <row r="116" spans="2:20" ht="15" thickTop="1" x14ac:dyDescent="0.2">
      <c r="B116" s="2523" t="s">
        <v>25</v>
      </c>
      <c r="C116" s="2524"/>
      <c r="D116" s="2524"/>
      <c r="E116" s="2524"/>
      <c r="F116" s="2524"/>
      <c r="G116" s="2524"/>
      <c r="H116" s="2524"/>
      <c r="I116" s="2524"/>
      <c r="J116" s="2524"/>
      <c r="K116" s="2524"/>
      <c r="L116" s="2524"/>
      <c r="M116" s="2524"/>
      <c r="N116" s="2524"/>
      <c r="O116" s="2524"/>
      <c r="P116" s="2525"/>
    </row>
    <row r="117" spans="2:20" ht="13.5" thickBot="1" x14ac:dyDescent="0.25">
      <c r="B117" s="2526" t="s">
        <v>207</v>
      </c>
      <c r="C117" s="2527"/>
      <c r="D117" s="2528" t="s">
        <v>208</v>
      </c>
      <c r="E117" s="2529"/>
      <c r="F117" s="2529"/>
      <c r="G117" s="2529"/>
      <c r="H117" s="2529"/>
      <c r="I117" s="2529"/>
      <c r="J117" s="2529"/>
      <c r="K117" s="2529"/>
      <c r="L117" s="2530"/>
      <c r="M117" s="2531" t="s">
        <v>209</v>
      </c>
      <c r="N117" s="2530"/>
      <c r="O117" s="4" t="s">
        <v>210</v>
      </c>
      <c r="P117" s="92" t="s">
        <v>211</v>
      </c>
    </row>
    <row r="118" spans="2:20" ht="15" thickTop="1" x14ac:dyDescent="0.2">
      <c r="B118" s="2535">
        <v>1</v>
      </c>
      <c r="C118" s="2536"/>
      <c r="D118" s="2532"/>
      <c r="E118" s="2533"/>
      <c r="F118" s="2533"/>
      <c r="G118" s="2533"/>
      <c r="H118" s="2533"/>
      <c r="I118" s="2533"/>
      <c r="J118" s="2533"/>
      <c r="K118" s="2533"/>
      <c r="L118" s="2534"/>
      <c r="M118" s="2538"/>
      <c r="N118" s="2539"/>
      <c r="O118" s="1073"/>
      <c r="P118" s="1819" t="s">
        <v>10</v>
      </c>
    </row>
    <row r="119" spans="2:20" ht="14.25" x14ac:dyDescent="0.2">
      <c r="B119" s="2522">
        <v>2</v>
      </c>
      <c r="C119" s="2745"/>
      <c r="D119" s="1820"/>
      <c r="E119" s="1117"/>
      <c r="F119" s="1117"/>
      <c r="G119" s="1117"/>
      <c r="H119" s="1117"/>
      <c r="I119" s="1117"/>
      <c r="J119" s="1117"/>
      <c r="K119" s="1117"/>
      <c r="L119" s="1821"/>
      <c r="M119" s="2746"/>
      <c r="N119" s="2747"/>
      <c r="O119" s="1822"/>
      <c r="P119" s="1819" t="s">
        <v>11</v>
      </c>
      <c r="Q119" s="1255"/>
      <c r="R119" s="1256"/>
      <c r="S119" s="1787"/>
      <c r="T119" s="1257"/>
    </row>
    <row r="120" spans="2:20" ht="14.25" x14ac:dyDescent="0.2">
      <c r="B120" s="2522">
        <v>3</v>
      </c>
      <c r="C120" s="2745"/>
      <c r="D120" s="1820"/>
      <c r="E120" s="1117"/>
      <c r="F120" s="1117"/>
      <c r="G120" s="1117"/>
      <c r="H120" s="1117"/>
      <c r="I120" s="1117"/>
      <c r="J120" s="1117"/>
      <c r="K120" s="1117"/>
      <c r="L120" s="1821"/>
      <c r="M120" s="2746"/>
      <c r="N120" s="2747"/>
      <c r="O120" s="1822"/>
      <c r="P120" s="1819" t="s">
        <v>12</v>
      </c>
      <c r="Q120" s="1255"/>
      <c r="R120" s="1256"/>
      <c r="S120" s="1784"/>
      <c r="T120" s="1257"/>
    </row>
    <row r="121" spans="2:20" ht="14.25" x14ac:dyDescent="0.2">
      <c r="B121" s="2522">
        <v>4</v>
      </c>
      <c r="C121" s="2745"/>
      <c r="D121" s="1820"/>
      <c r="E121" s="1117"/>
      <c r="F121" s="1117"/>
      <c r="G121" s="1117"/>
      <c r="H121" s="1117"/>
      <c r="I121" s="1117"/>
      <c r="J121" s="1117"/>
      <c r="K121" s="1117"/>
      <c r="L121" s="1821"/>
      <c r="M121" s="2748"/>
      <c r="N121" s="2749"/>
      <c r="O121" s="1822"/>
      <c r="P121" s="1819" t="s">
        <v>13</v>
      </c>
      <c r="Q121" s="1255"/>
      <c r="R121" s="1256"/>
      <c r="S121" s="1784"/>
      <c r="T121" s="1257"/>
    </row>
    <row r="122" spans="2:20" ht="14.25" x14ac:dyDescent="0.2">
      <c r="B122" s="2522">
        <v>5</v>
      </c>
      <c r="C122" s="2745"/>
      <c r="D122" s="1820"/>
      <c r="E122" s="1117"/>
      <c r="F122" s="1117"/>
      <c r="G122" s="1117"/>
      <c r="H122" s="1117"/>
      <c r="I122" s="1117"/>
      <c r="J122" s="1117"/>
      <c r="K122" s="1117"/>
      <c r="L122" s="1821"/>
      <c r="M122" s="2748"/>
      <c r="N122" s="2749"/>
      <c r="O122" s="1822"/>
      <c r="P122" s="1819" t="s">
        <v>14</v>
      </c>
      <c r="Q122" s="1258"/>
      <c r="R122" s="1259"/>
      <c r="S122" s="1784"/>
      <c r="T122" s="1257"/>
    </row>
    <row r="123" spans="2:20" ht="14.25" x14ac:dyDescent="0.2">
      <c r="B123" s="2522">
        <v>6</v>
      </c>
      <c r="C123" s="2745"/>
      <c r="D123" s="1820"/>
      <c r="E123" s="1117"/>
      <c r="F123" s="1117"/>
      <c r="G123" s="1117"/>
      <c r="H123" s="1117"/>
      <c r="I123" s="1117"/>
      <c r="J123" s="1117"/>
      <c r="K123" s="1117"/>
      <c r="L123" s="1821"/>
      <c r="M123" s="2748"/>
      <c r="N123" s="2749"/>
      <c r="O123" s="1822"/>
      <c r="P123" s="1178" t="s">
        <v>42</v>
      </c>
      <c r="Q123" s="1258"/>
      <c r="R123" s="1259"/>
      <c r="S123" s="1784"/>
      <c r="T123" s="1257"/>
    </row>
    <row r="124" spans="2:20" ht="26.25" thickBot="1" x14ac:dyDescent="0.25">
      <c r="B124" s="2520">
        <v>7</v>
      </c>
      <c r="C124" s="2521"/>
      <c r="D124" s="1119"/>
      <c r="E124" s="1120"/>
      <c r="F124" s="1120"/>
      <c r="G124" s="1120"/>
      <c r="H124" s="1120"/>
      <c r="I124" s="1120"/>
      <c r="J124" s="1120"/>
      <c r="K124" s="1120"/>
      <c r="L124" s="1121"/>
      <c r="M124" s="2537"/>
      <c r="N124" s="2300"/>
      <c r="O124" s="1785"/>
      <c r="P124" s="1179" t="s">
        <v>487</v>
      </c>
      <c r="Q124" s="1258"/>
      <c r="R124" s="1259"/>
      <c r="S124" s="1784"/>
      <c r="T124" s="1260"/>
    </row>
    <row r="125" spans="2:20" ht="13.5" thickTop="1" x14ac:dyDescent="0.2">
      <c r="B125" s="730"/>
      <c r="C125" s="730"/>
      <c r="D125" s="730"/>
      <c r="E125" s="730"/>
      <c r="F125" s="730"/>
      <c r="G125" s="730"/>
      <c r="H125" s="730"/>
      <c r="I125" s="730"/>
      <c r="J125" s="730"/>
      <c r="K125" s="730"/>
      <c r="L125" s="730"/>
      <c r="M125" s="730"/>
      <c r="N125" s="730"/>
      <c r="O125" s="730"/>
      <c r="P125" s="730"/>
      <c r="Q125" s="1258"/>
      <c r="R125" s="1259"/>
      <c r="S125" s="1784"/>
      <c r="T125" s="1260"/>
    </row>
    <row r="126" spans="2:20" x14ac:dyDescent="0.2">
      <c r="B126" s="730"/>
      <c r="C126" s="730"/>
      <c r="D126" s="730"/>
      <c r="E126" s="730"/>
      <c r="F126" s="730"/>
      <c r="G126" s="730"/>
      <c r="H126" s="730"/>
      <c r="I126" s="730"/>
      <c r="J126" s="730"/>
      <c r="K126" s="730"/>
      <c r="L126" s="730"/>
      <c r="M126" s="730"/>
      <c r="N126" s="730"/>
      <c r="O126" s="730"/>
      <c r="P126" s="730"/>
    </row>
    <row r="127" spans="2:20" x14ac:dyDescent="0.2">
      <c r="B127" s="730"/>
      <c r="C127" s="730"/>
      <c r="D127" s="730"/>
      <c r="E127" s="730"/>
      <c r="F127" s="730"/>
      <c r="G127" s="730"/>
      <c r="H127" s="730"/>
      <c r="I127" s="730"/>
      <c r="J127" s="730"/>
      <c r="K127" s="730"/>
      <c r="L127" s="730"/>
      <c r="M127" s="730"/>
      <c r="N127" s="730"/>
      <c r="O127" s="730"/>
      <c r="P127" s="730"/>
    </row>
    <row r="128" spans="2:20" x14ac:dyDescent="0.2">
      <c r="B128" s="730"/>
      <c r="C128" s="730"/>
      <c r="D128" s="730"/>
      <c r="E128" s="730"/>
      <c r="F128" s="730"/>
      <c r="G128" s="730"/>
      <c r="H128" s="730"/>
      <c r="I128" s="730"/>
      <c r="J128" s="730"/>
      <c r="K128" s="730"/>
      <c r="L128" s="1240"/>
      <c r="M128" s="1240"/>
      <c r="N128" s="730"/>
      <c r="O128" s="730"/>
      <c r="P128" s="730"/>
    </row>
    <row r="129" spans="2:16" x14ac:dyDescent="0.2">
      <c r="B129" s="730"/>
      <c r="C129" s="730"/>
      <c r="D129" s="730"/>
      <c r="E129" s="730"/>
      <c r="F129" s="730"/>
      <c r="G129" s="730"/>
      <c r="H129" s="730"/>
      <c r="I129" s="730"/>
      <c r="J129" s="730"/>
      <c r="K129" s="730"/>
      <c r="L129" s="1240"/>
      <c r="M129" s="1240"/>
      <c r="N129" s="730"/>
      <c r="O129" s="730"/>
      <c r="P129" s="730"/>
    </row>
    <row r="130" spans="2:16" x14ac:dyDescent="0.2">
      <c r="B130" s="730"/>
      <c r="C130" s="730"/>
      <c r="D130" s="730"/>
      <c r="E130" s="730"/>
      <c r="F130" s="730"/>
      <c r="G130" s="730"/>
      <c r="H130" s="730"/>
      <c r="I130" s="730"/>
      <c r="J130" s="730"/>
      <c r="K130" s="730"/>
      <c r="L130" s="1240"/>
      <c r="M130" s="1240"/>
      <c r="N130" s="730"/>
      <c r="O130" s="730"/>
      <c r="P130" s="730"/>
    </row>
    <row r="131" spans="2:16" x14ac:dyDescent="0.2">
      <c r="B131" s="730"/>
      <c r="C131" s="730"/>
      <c r="D131" s="730"/>
      <c r="E131" s="730"/>
      <c r="F131" s="730"/>
      <c r="G131" s="730"/>
      <c r="H131" s="730"/>
      <c r="I131" s="730"/>
      <c r="J131" s="730"/>
      <c r="K131" s="730"/>
      <c r="L131" s="1240"/>
      <c r="M131" s="1240"/>
      <c r="N131" s="730"/>
      <c r="O131" s="730"/>
      <c r="P131" s="730"/>
    </row>
    <row r="132" spans="2:16" x14ac:dyDescent="0.2">
      <c r="B132" s="730"/>
      <c r="C132" s="730"/>
      <c r="D132" s="730"/>
      <c r="E132" s="730"/>
      <c r="F132" s="730"/>
      <c r="G132" s="730"/>
      <c r="H132" s="730"/>
      <c r="I132" s="730"/>
      <c r="J132" s="730"/>
      <c r="K132" s="730"/>
      <c r="L132" s="1823"/>
      <c r="M132" s="1240"/>
      <c r="N132" s="730"/>
      <c r="O132" s="730"/>
      <c r="P132" s="730"/>
    </row>
    <row r="133" spans="2:16" x14ac:dyDescent="0.2">
      <c r="B133" s="730"/>
      <c r="C133" s="730"/>
      <c r="D133" s="730"/>
      <c r="E133" s="730"/>
      <c r="F133" s="730"/>
      <c r="G133" s="730"/>
      <c r="H133" s="730"/>
      <c r="I133" s="730"/>
      <c r="J133" s="730"/>
      <c r="K133" s="730"/>
      <c r="L133" s="1823"/>
      <c r="M133" s="1240"/>
      <c r="N133" s="730"/>
      <c r="O133" s="730"/>
      <c r="P133" s="730"/>
    </row>
    <row r="134" spans="2:16" x14ac:dyDescent="0.2">
      <c r="B134" s="730"/>
      <c r="C134" s="730"/>
      <c r="D134" s="730"/>
      <c r="E134" s="730"/>
      <c r="F134" s="730"/>
      <c r="G134" s="730"/>
      <c r="H134" s="730"/>
      <c r="I134" s="730"/>
      <c r="J134" s="730"/>
      <c r="K134" s="730"/>
      <c r="L134" s="1240"/>
      <c r="M134" s="1240"/>
      <c r="N134" s="730"/>
      <c r="O134" s="730"/>
      <c r="P134" s="730"/>
    </row>
    <row r="135" spans="2:16" x14ac:dyDescent="0.2">
      <c r="B135" s="730"/>
      <c r="C135" s="730"/>
      <c r="D135" s="730"/>
      <c r="E135" s="730"/>
      <c r="F135" s="730"/>
      <c r="G135" s="730"/>
      <c r="H135" s="730"/>
      <c r="I135" s="730"/>
      <c r="J135" s="730"/>
      <c r="K135" s="730"/>
      <c r="L135" s="1823"/>
      <c r="M135" s="1240"/>
      <c r="N135" s="730"/>
      <c r="O135" s="730"/>
      <c r="P135" s="730"/>
    </row>
    <row r="136" spans="2:16" x14ac:dyDescent="0.2">
      <c r="B136" s="730"/>
      <c r="C136" s="730"/>
      <c r="D136" s="730"/>
      <c r="E136" s="730"/>
      <c r="F136" s="730"/>
      <c r="G136" s="730"/>
      <c r="H136" s="730"/>
      <c r="I136" s="730"/>
      <c r="J136" s="730"/>
      <c r="K136" s="730"/>
      <c r="L136" s="1240"/>
      <c r="M136" s="1240"/>
      <c r="N136" s="730"/>
      <c r="O136" s="730"/>
      <c r="P136" s="730"/>
    </row>
    <row r="137" spans="2:16" x14ac:dyDescent="0.2">
      <c r="B137" s="730"/>
      <c r="C137" s="730"/>
      <c r="D137" s="730"/>
      <c r="E137" s="730"/>
      <c r="F137" s="730"/>
      <c r="G137" s="730"/>
      <c r="H137" s="730"/>
      <c r="I137" s="730"/>
      <c r="J137" s="730"/>
      <c r="K137" s="730"/>
      <c r="L137" s="1823"/>
      <c r="M137" s="1240"/>
      <c r="N137" s="730"/>
      <c r="O137" s="730"/>
      <c r="P137" s="730"/>
    </row>
    <row r="138" spans="2:16" x14ac:dyDescent="0.2">
      <c r="B138" s="730"/>
      <c r="C138" s="730"/>
      <c r="D138" s="730"/>
      <c r="E138" s="730"/>
      <c r="F138" s="730"/>
      <c r="G138" s="730"/>
      <c r="H138" s="730"/>
      <c r="I138" s="730"/>
      <c r="J138" s="730"/>
      <c r="K138" s="730"/>
      <c r="L138" s="1240"/>
      <c r="M138" s="1240"/>
      <c r="N138" s="730"/>
      <c r="O138" s="730"/>
      <c r="P138" s="730"/>
    </row>
    <row r="139" spans="2:16" x14ac:dyDescent="0.2">
      <c r="B139" s="730"/>
      <c r="C139" s="730"/>
      <c r="D139" s="730"/>
      <c r="E139" s="730"/>
      <c r="F139" s="730"/>
      <c r="G139" s="730"/>
      <c r="H139" s="730"/>
      <c r="I139" s="730"/>
      <c r="J139" s="730"/>
      <c r="K139" s="730"/>
      <c r="L139" s="1823"/>
      <c r="M139" s="1240"/>
      <c r="N139" s="730"/>
      <c r="O139" s="730"/>
      <c r="P139" s="730"/>
    </row>
    <row r="140" spans="2:16" x14ac:dyDescent="0.2">
      <c r="B140" s="730"/>
      <c r="C140" s="730"/>
      <c r="D140" s="730"/>
      <c r="E140" s="730"/>
      <c r="F140" s="730"/>
      <c r="G140" s="730"/>
      <c r="H140" s="730"/>
      <c r="I140" s="730"/>
      <c r="J140" s="730"/>
      <c r="K140" s="730"/>
      <c r="L140" s="1240"/>
      <c r="M140" s="1240"/>
      <c r="N140" s="730"/>
      <c r="O140" s="730"/>
      <c r="P140" s="730"/>
    </row>
    <row r="141" spans="2:16" x14ac:dyDescent="0.2">
      <c r="B141" s="730"/>
      <c r="C141" s="730"/>
      <c r="D141" s="730"/>
      <c r="E141" s="730"/>
      <c r="F141" s="730"/>
      <c r="G141" s="730"/>
      <c r="H141" s="730"/>
      <c r="I141" s="730"/>
      <c r="J141" s="730"/>
      <c r="K141" s="730"/>
      <c r="L141" s="1823"/>
      <c r="M141" s="1240"/>
      <c r="N141" s="730"/>
      <c r="O141" s="730"/>
      <c r="P141" s="730"/>
    </row>
    <row r="142" spans="2:16" x14ac:dyDescent="0.2">
      <c r="J142" s="730"/>
      <c r="L142" s="1240"/>
      <c r="M142" s="1240"/>
      <c r="N142" s="730"/>
      <c r="O142" s="730"/>
    </row>
    <row r="143" spans="2:16" x14ac:dyDescent="0.2">
      <c r="J143" s="730"/>
      <c r="L143" s="1241"/>
      <c r="M143" s="1240"/>
      <c r="N143" s="730"/>
      <c r="O143" s="730"/>
    </row>
    <row r="144" spans="2:16" x14ac:dyDescent="0.2">
      <c r="J144" s="730"/>
      <c r="M144" s="1240"/>
      <c r="N144" s="730"/>
      <c r="O144" s="730"/>
    </row>
    <row r="145" spans="10:15" x14ac:dyDescent="0.2">
      <c r="J145" s="730"/>
      <c r="L145" s="1240"/>
      <c r="M145" s="1240"/>
      <c r="N145" s="730"/>
      <c r="O145" s="730"/>
    </row>
    <row r="146" spans="10:15" x14ac:dyDescent="0.2">
      <c r="J146" s="730"/>
      <c r="L146" s="1240"/>
      <c r="M146" s="1240"/>
      <c r="N146" s="730"/>
      <c r="O146" s="730"/>
    </row>
    <row r="147" spans="10:15" x14ac:dyDescent="0.2">
      <c r="J147" s="730"/>
      <c r="L147" s="1240"/>
      <c r="M147" s="1240"/>
      <c r="N147" s="730"/>
      <c r="O147" s="730"/>
    </row>
    <row r="148" spans="10:15" x14ac:dyDescent="0.2">
      <c r="J148" s="730"/>
      <c r="M148" s="1240"/>
      <c r="N148" s="730"/>
    </row>
    <row r="149" spans="10:15" x14ac:dyDescent="0.2">
      <c r="J149" s="730"/>
      <c r="M149" s="1240"/>
      <c r="N149" s="730"/>
    </row>
    <row r="150" spans="10:15" x14ac:dyDescent="0.2">
      <c r="J150" s="730"/>
      <c r="L150" s="1240"/>
      <c r="M150" s="1240"/>
      <c r="N150" s="730"/>
    </row>
    <row r="151" spans="10:15" x14ac:dyDescent="0.2">
      <c r="J151" s="730"/>
      <c r="L151" s="1240"/>
      <c r="M151" s="1240"/>
      <c r="N151" s="730"/>
    </row>
    <row r="152" spans="10:15" x14ac:dyDescent="0.2">
      <c r="J152" s="730"/>
      <c r="L152" s="1240"/>
      <c r="M152" s="1240"/>
      <c r="N152" s="730"/>
    </row>
    <row r="153" spans="10:15" x14ac:dyDescent="0.2">
      <c r="J153" s="730"/>
      <c r="L153" s="1240"/>
      <c r="M153" s="1240"/>
      <c r="N153" s="730"/>
    </row>
    <row r="154" spans="10:15" x14ac:dyDescent="0.2">
      <c r="J154" s="730"/>
      <c r="L154" s="1240"/>
      <c r="M154" s="1240"/>
      <c r="N154" s="730"/>
    </row>
    <row r="155" spans="10:15" x14ac:dyDescent="0.2">
      <c r="J155" s="730"/>
      <c r="L155" s="1240"/>
      <c r="M155" s="1240"/>
      <c r="N155" s="730"/>
    </row>
    <row r="156" spans="10:15" x14ac:dyDescent="0.2">
      <c r="J156" s="730"/>
      <c r="M156" s="1240"/>
    </row>
    <row r="157" spans="10:15" x14ac:dyDescent="0.2">
      <c r="J157" s="730"/>
      <c r="M157" s="1240"/>
    </row>
    <row r="158" spans="10:15" x14ac:dyDescent="0.2">
      <c r="J158" s="730"/>
      <c r="L158" s="791"/>
      <c r="M158" s="1240"/>
    </row>
    <row r="159" spans="10:15" x14ac:dyDescent="0.2">
      <c r="J159" s="730"/>
      <c r="L159" s="1240"/>
      <c r="M159" s="1240"/>
    </row>
    <row r="160" spans="10:15" x14ac:dyDescent="0.2">
      <c r="J160" s="730"/>
      <c r="L160" s="1240"/>
      <c r="M160" s="1240"/>
    </row>
    <row r="161" spans="10:13" x14ac:dyDescent="0.2">
      <c r="J161" s="730"/>
      <c r="K161" s="730"/>
      <c r="L161" s="1240"/>
      <c r="M161" s="1240"/>
    </row>
    <row r="162" spans="10:13" x14ac:dyDescent="0.2">
      <c r="J162" s="730"/>
      <c r="K162" s="730"/>
      <c r="M162" s="1240"/>
    </row>
    <row r="163" spans="10:13" x14ac:dyDescent="0.2">
      <c r="J163" s="730"/>
      <c r="K163" s="730"/>
      <c r="L163" s="791"/>
      <c r="M163" s="1240"/>
    </row>
    <row r="164" spans="10:13" x14ac:dyDescent="0.2">
      <c r="J164" s="730"/>
      <c r="K164" s="730"/>
      <c r="L164" s="1240"/>
      <c r="M164" s="1240"/>
    </row>
    <row r="165" spans="10:13" x14ac:dyDescent="0.2">
      <c r="J165" s="730"/>
      <c r="K165" s="730"/>
      <c r="L165" s="1240"/>
      <c r="M165" s="1240"/>
    </row>
    <row r="166" spans="10:13" x14ac:dyDescent="0.2">
      <c r="J166" s="730"/>
      <c r="L166" s="1240"/>
      <c r="M166" s="1240"/>
    </row>
    <row r="167" spans="10:13" x14ac:dyDescent="0.2">
      <c r="J167" s="730"/>
      <c r="L167" s="1240"/>
      <c r="M167" s="1240"/>
    </row>
    <row r="168" spans="10:13" x14ac:dyDescent="0.2">
      <c r="L168" s="1240"/>
    </row>
    <row r="169" spans="10:13" x14ac:dyDescent="0.2">
      <c r="L169" s="1240"/>
    </row>
  </sheetData>
  <mergeCells count="85">
    <mergeCell ref="B122:C122"/>
    <mergeCell ref="M122:N122"/>
    <mergeCell ref="B123:C123"/>
    <mergeCell ref="M123:N123"/>
    <mergeCell ref="B124:C124"/>
    <mergeCell ref="M124:N124"/>
    <mergeCell ref="B119:C119"/>
    <mergeCell ref="M119:N119"/>
    <mergeCell ref="B120:C120"/>
    <mergeCell ref="M120:N120"/>
    <mergeCell ref="B121:C121"/>
    <mergeCell ref="M121:N121"/>
    <mergeCell ref="B117:C117"/>
    <mergeCell ref="D117:L117"/>
    <mergeCell ref="M117:N117"/>
    <mergeCell ref="B118:C118"/>
    <mergeCell ref="D118:L118"/>
    <mergeCell ref="M118:N118"/>
    <mergeCell ref="B116:P116"/>
    <mergeCell ref="N107:P107"/>
    <mergeCell ref="M108:P108"/>
    <mergeCell ref="M109:P109"/>
    <mergeCell ref="B110:L110"/>
    <mergeCell ref="M110:P110"/>
    <mergeCell ref="B111:L111"/>
    <mergeCell ref="N111:P111"/>
    <mergeCell ref="B112:L112"/>
    <mergeCell ref="N112:P112"/>
    <mergeCell ref="B113:P113"/>
    <mergeCell ref="B114:P114"/>
    <mergeCell ref="B115:P115"/>
    <mergeCell ref="N106:P106"/>
    <mergeCell ref="B23:P23"/>
    <mergeCell ref="B24:K24"/>
    <mergeCell ref="L24:L27"/>
    <mergeCell ref="M24:O24"/>
    <mergeCell ref="B25:K25"/>
    <mergeCell ref="M25:M27"/>
    <mergeCell ref="N25:N27"/>
    <mergeCell ref="O25:O27"/>
    <mergeCell ref="B26:K26"/>
    <mergeCell ref="B27:K27"/>
    <mergeCell ref="B28:K28"/>
    <mergeCell ref="M101:O101"/>
    <mergeCell ref="M103:P103"/>
    <mergeCell ref="M104:P104"/>
    <mergeCell ref="M105:P105"/>
    <mergeCell ref="B22:P22"/>
    <mergeCell ref="B17:K17"/>
    <mergeCell ref="L17:N17"/>
    <mergeCell ref="O17:P17"/>
    <mergeCell ref="B18:K18"/>
    <mergeCell ref="L18:N18"/>
    <mergeCell ref="O18:P18"/>
    <mergeCell ref="B19:K19"/>
    <mergeCell ref="L19:N19"/>
    <mergeCell ref="O19:P19"/>
    <mergeCell ref="B20:P20"/>
    <mergeCell ref="B21:P21"/>
    <mergeCell ref="B16:K16"/>
    <mergeCell ref="L16:N16"/>
    <mergeCell ref="O16:P16"/>
    <mergeCell ref="B9:K9"/>
    <mergeCell ref="M9:P9"/>
    <mergeCell ref="B10:K10"/>
    <mergeCell ref="L10:P10"/>
    <mergeCell ref="B11:K11"/>
    <mergeCell ref="B12:K12"/>
    <mergeCell ref="B13:K13"/>
    <mergeCell ref="B14:P14"/>
    <mergeCell ref="B15:K15"/>
    <mergeCell ref="L15:N15"/>
    <mergeCell ref="O15:P15"/>
    <mergeCell ref="B6:K6"/>
    <mergeCell ref="M6:P6"/>
    <mergeCell ref="B7:K7"/>
    <mergeCell ref="M7:P7"/>
    <mergeCell ref="B8:K8"/>
    <mergeCell ref="M8:P8"/>
    <mergeCell ref="F2:O2"/>
    <mergeCell ref="P2:P3"/>
    <mergeCell ref="F3:O3"/>
    <mergeCell ref="B4:O4"/>
    <mergeCell ref="P4:P5"/>
    <mergeCell ref="B5:O5"/>
  </mergeCells>
  <pageMargins left="0.95" right="0.7" top="0.75" bottom="0.75" header="0.3" footer="0.3"/>
  <pageSetup paperSize="5" scale="70" orientation="portrait" horizontalDpi="0" verticalDpi="0" r:id="rId1"/>
  <rowBreaks count="1" manualBreakCount="1">
    <brk id="85" min="1" max="15" man="1"/>
  </rowBreaks>
  <colBreaks count="1" manualBreakCount="1">
    <brk id="16" min="1" max="123"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V180"/>
  <sheetViews>
    <sheetView view="pageBreakPreview" topLeftCell="A117" zoomScaleNormal="100" zoomScaleSheetLayoutView="100" workbookViewId="0">
      <selection activeCell="L128" sqref="L128"/>
    </sheetView>
  </sheetViews>
  <sheetFormatPr defaultColWidth="8.7109375" defaultRowHeight="12.75" x14ac:dyDescent="0.2"/>
  <cols>
    <col min="1" max="1" width="6.85546875" style="715" customWidth="1"/>
    <col min="2" max="11" width="2.7109375" style="715" customWidth="1"/>
    <col min="12" max="12" width="47.5703125" style="715" customWidth="1"/>
    <col min="13" max="13" width="11.5703125" style="1072" customWidth="1"/>
    <col min="14" max="14" width="10.42578125" style="1072" customWidth="1"/>
    <col min="15" max="15" width="14.28515625" style="715" bestFit="1" customWidth="1"/>
    <col min="16" max="16" width="16.5703125" style="715" customWidth="1"/>
    <col min="17" max="17" width="16.140625" style="730" customWidth="1"/>
    <col min="18" max="18" width="43.85546875" style="715" customWidth="1"/>
    <col min="19" max="19" width="5.85546875" style="715" customWidth="1"/>
    <col min="20" max="20" width="12" style="715" customWidth="1"/>
    <col min="21" max="21" width="14" style="715" bestFit="1" customWidth="1"/>
    <col min="22" max="22" width="13.42578125" style="715" customWidth="1"/>
    <col min="23" max="16384" width="8.7109375" style="715"/>
  </cols>
  <sheetData>
    <row r="1" spans="2:16" ht="13.5" thickBot="1" x14ac:dyDescent="0.25"/>
    <row r="2" spans="2:16" ht="18.95" customHeight="1" thickTop="1" x14ac:dyDescent="0.2">
      <c r="B2" s="72"/>
      <c r="C2" s="73"/>
      <c r="D2" s="73"/>
      <c r="E2" s="73"/>
      <c r="F2" s="2174" t="s">
        <v>182</v>
      </c>
      <c r="G2" s="2174"/>
      <c r="H2" s="2174"/>
      <c r="I2" s="2174"/>
      <c r="J2" s="2174"/>
      <c r="K2" s="2174"/>
      <c r="L2" s="2174"/>
      <c r="M2" s="2174"/>
      <c r="N2" s="2174"/>
      <c r="O2" s="2175"/>
      <c r="P2" s="2178" t="s">
        <v>67</v>
      </c>
    </row>
    <row r="3" spans="2:16" ht="18.95" customHeight="1" x14ac:dyDescent="0.2">
      <c r="B3" s="74"/>
      <c r="C3" s="7"/>
      <c r="D3" s="7"/>
      <c r="E3" s="7"/>
      <c r="F3" s="2465" t="s">
        <v>183</v>
      </c>
      <c r="G3" s="2465"/>
      <c r="H3" s="2465"/>
      <c r="I3" s="2465"/>
      <c r="J3" s="2465"/>
      <c r="K3" s="2465"/>
      <c r="L3" s="2465"/>
      <c r="M3" s="2465"/>
      <c r="N3" s="2465"/>
      <c r="O3" s="2466"/>
      <c r="P3" s="2464"/>
    </row>
    <row r="4" spans="2:16" ht="12.95" customHeight="1" x14ac:dyDescent="0.2">
      <c r="B4" s="2182" t="s">
        <v>33</v>
      </c>
      <c r="C4" s="2183"/>
      <c r="D4" s="2183"/>
      <c r="E4" s="2183"/>
      <c r="F4" s="2183"/>
      <c r="G4" s="2183"/>
      <c r="H4" s="2183"/>
      <c r="I4" s="2183"/>
      <c r="J4" s="2183"/>
      <c r="K4" s="2183"/>
      <c r="L4" s="2183"/>
      <c r="M4" s="2183"/>
      <c r="N4" s="2183"/>
      <c r="O4" s="2604"/>
      <c r="P4" s="2605" t="s">
        <v>30</v>
      </c>
    </row>
    <row r="5" spans="2:16" ht="12.95" customHeight="1" thickBot="1" x14ac:dyDescent="0.25">
      <c r="B5" s="2373" t="str">
        <f>'RECAP APBD'!B5:F5</f>
        <v>Tahun Anggaran 2020</v>
      </c>
      <c r="C5" s="2374"/>
      <c r="D5" s="2374"/>
      <c r="E5" s="2374"/>
      <c r="F5" s="2374"/>
      <c r="G5" s="2374"/>
      <c r="H5" s="2374"/>
      <c r="I5" s="2374"/>
      <c r="J5" s="2374"/>
      <c r="K5" s="2374"/>
      <c r="L5" s="2374"/>
      <c r="M5" s="2374"/>
      <c r="N5" s="2374"/>
      <c r="O5" s="2470"/>
      <c r="P5" s="2606"/>
    </row>
    <row r="6" spans="2:16" ht="12.95" customHeight="1" x14ac:dyDescent="0.2">
      <c r="B6" s="2462" t="s">
        <v>499</v>
      </c>
      <c r="C6" s="2463"/>
      <c r="D6" s="2463"/>
      <c r="E6" s="2463"/>
      <c r="F6" s="2463"/>
      <c r="G6" s="2463"/>
      <c r="H6" s="2463"/>
      <c r="I6" s="2463"/>
      <c r="J6" s="2463"/>
      <c r="K6" s="2463"/>
      <c r="L6" s="320" t="s">
        <v>442</v>
      </c>
      <c r="M6" s="2755" t="s">
        <v>437</v>
      </c>
      <c r="N6" s="2755"/>
      <c r="O6" s="2755"/>
      <c r="P6" s="2756"/>
    </row>
    <row r="7" spans="2:16" ht="12.95" customHeight="1" x14ac:dyDescent="0.2">
      <c r="B7" s="2471" t="s">
        <v>19</v>
      </c>
      <c r="C7" s="2355"/>
      <c r="D7" s="2355"/>
      <c r="E7" s="2355"/>
      <c r="F7" s="2355"/>
      <c r="G7" s="2355"/>
      <c r="H7" s="2355"/>
      <c r="I7" s="2355"/>
      <c r="J7" s="2355"/>
      <c r="K7" s="2355"/>
      <c r="L7" s="1066" t="s">
        <v>441</v>
      </c>
      <c r="M7" s="2757" t="s">
        <v>500</v>
      </c>
      <c r="N7" s="2757"/>
      <c r="O7" s="2757"/>
      <c r="P7" s="2758"/>
    </row>
    <row r="8" spans="2:16" ht="30.6" customHeight="1" x14ac:dyDescent="0.2">
      <c r="B8" s="2722" t="s">
        <v>32</v>
      </c>
      <c r="C8" s="2723"/>
      <c r="D8" s="2723"/>
      <c r="E8" s="2723"/>
      <c r="F8" s="2723"/>
      <c r="G8" s="2723"/>
      <c r="H8" s="2723"/>
      <c r="I8" s="2723"/>
      <c r="J8" s="2723"/>
      <c r="K8" s="2723"/>
      <c r="L8" s="1525" t="s">
        <v>254</v>
      </c>
      <c r="M8" s="2593" t="s">
        <v>920</v>
      </c>
      <c r="N8" s="2593"/>
      <c r="O8" s="2593"/>
      <c r="P8" s="2594"/>
    </row>
    <row r="9" spans="2:16" ht="29.1" customHeight="1" x14ac:dyDescent="0.2">
      <c r="B9" s="2477" t="s">
        <v>20</v>
      </c>
      <c r="C9" s="2478"/>
      <c r="D9" s="2478"/>
      <c r="E9" s="2478"/>
      <c r="F9" s="2478"/>
      <c r="G9" s="2478"/>
      <c r="H9" s="2478"/>
      <c r="I9" s="2478"/>
      <c r="J9" s="2478"/>
      <c r="K9" s="2478"/>
      <c r="L9" s="1526" t="s">
        <v>270</v>
      </c>
      <c r="M9" s="2593" t="s">
        <v>919</v>
      </c>
      <c r="N9" s="2593"/>
      <c r="O9" s="2593"/>
      <c r="P9" s="2594"/>
    </row>
    <row r="10" spans="2:16" ht="27.95" customHeight="1" x14ac:dyDescent="0.2">
      <c r="B10" s="2722" t="s">
        <v>221</v>
      </c>
      <c r="C10" s="2723"/>
      <c r="D10" s="2723"/>
      <c r="E10" s="2723"/>
      <c r="F10" s="2723"/>
      <c r="G10" s="2723"/>
      <c r="H10" s="2723"/>
      <c r="I10" s="2723"/>
      <c r="J10" s="2723"/>
      <c r="K10" s="2723"/>
      <c r="L10" s="2475" t="s">
        <v>917</v>
      </c>
      <c r="M10" s="2475"/>
      <c r="N10" s="2475"/>
      <c r="O10" s="2475"/>
      <c r="P10" s="2476"/>
    </row>
    <row r="11" spans="2:16" ht="12.95" customHeight="1" x14ac:dyDescent="0.2">
      <c r="B11" s="2471" t="s">
        <v>222</v>
      </c>
      <c r="C11" s="2355"/>
      <c r="D11" s="2355"/>
      <c r="E11" s="2355"/>
      <c r="F11" s="2355"/>
      <c r="G11" s="2355"/>
      <c r="H11" s="2355"/>
      <c r="I11" s="2355"/>
      <c r="J11" s="2355"/>
      <c r="K11" s="2355"/>
      <c r="L11" s="372">
        <v>242950000</v>
      </c>
      <c r="M11" s="1074"/>
      <c r="N11" s="1074"/>
      <c r="O11" s="35"/>
      <c r="P11" s="77"/>
    </row>
    <row r="12" spans="2:16" ht="12.95" customHeight="1" x14ac:dyDescent="0.2">
      <c r="B12" s="2471" t="s">
        <v>223</v>
      </c>
      <c r="C12" s="2355"/>
      <c r="D12" s="2355"/>
      <c r="E12" s="2355"/>
      <c r="F12" s="2355"/>
      <c r="G12" s="2355"/>
      <c r="H12" s="2355"/>
      <c r="I12" s="2355"/>
      <c r="J12" s="2355"/>
      <c r="K12" s="2355"/>
      <c r="L12" s="372">
        <f>O17</f>
        <v>1966746442</v>
      </c>
      <c r="M12" s="1074"/>
      <c r="N12" s="1074"/>
      <c r="O12" s="35"/>
      <c r="P12" s="77"/>
    </row>
    <row r="13" spans="2:16" ht="12.95" customHeight="1" x14ac:dyDescent="0.2">
      <c r="B13" s="2471" t="s">
        <v>224</v>
      </c>
      <c r="C13" s="2355"/>
      <c r="D13" s="2355"/>
      <c r="E13" s="2355"/>
      <c r="F13" s="2355"/>
      <c r="G13" s="2355"/>
      <c r="H13" s="2355"/>
      <c r="I13" s="2355"/>
      <c r="J13" s="2355"/>
      <c r="K13" s="2355"/>
      <c r="L13" s="152">
        <f>L12+(L12*5%)</f>
        <v>2065083764.0999999</v>
      </c>
      <c r="M13" s="1074"/>
      <c r="N13" s="1074"/>
      <c r="O13" s="35"/>
      <c r="P13" s="77"/>
    </row>
    <row r="14" spans="2:16" ht="12.95" customHeight="1" x14ac:dyDescent="0.2">
      <c r="B14" s="2479" t="s">
        <v>225</v>
      </c>
      <c r="C14" s="2289"/>
      <c r="D14" s="2289"/>
      <c r="E14" s="2289"/>
      <c r="F14" s="2289"/>
      <c r="G14" s="2289"/>
      <c r="H14" s="2289"/>
      <c r="I14" s="2289"/>
      <c r="J14" s="2289"/>
      <c r="K14" s="2289"/>
      <c r="L14" s="2289"/>
      <c r="M14" s="2289"/>
      <c r="N14" s="2289"/>
      <c r="O14" s="2289"/>
      <c r="P14" s="2290"/>
    </row>
    <row r="15" spans="2:16" ht="12.95" customHeight="1" x14ac:dyDescent="0.2">
      <c r="B15" s="2479" t="s">
        <v>36</v>
      </c>
      <c r="C15" s="2289"/>
      <c r="D15" s="2289"/>
      <c r="E15" s="2289"/>
      <c r="F15" s="2289"/>
      <c r="G15" s="2289"/>
      <c r="H15" s="2289"/>
      <c r="I15" s="2289"/>
      <c r="J15" s="2289"/>
      <c r="K15" s="2512"/>
      <c r="L15" s="2607" t="s">
        <v>226</v>
      </c>
      <c r="M15" s="2289"/>
      <c r="N15" s="2512"/>
      <c r="O15" s="2607" t="s">
        <v>227</v>
      </c>
      <c r="P15" s="2290"/>
    </row>
    <row r="16" spans="2:16" ht="24.95" customHeight="1" x14ac:dyDescent="0.2">
      <c r="B16" s="2454" t="s">
        <v>37</v>
      </c>
      <c r="C16" s="2286"/>
      <c r="D16" s="2286"/>
      <c r="E16" s="2286"/>
      <c r="F16" s="2286"/>
      <c r="G16" s="2286"/>
      <c r="H16" s="2286"/>
      <c r="I16" s="2286"/>
      <c r="J16" s="2286"/>
      <c r="K16" s="2724"/>
      <c r="L16" s="2725" t="s">
        <v>779</v>
      </c>
      <c r="M16" s="2726"/>
      <c r="N16" s="2727"/>
      <c r="O16" s="2751">
        <v>1</v>
      </c>
      <c r="P16" s="2752"/>
    </row>
    <row r="17" spans="2:19" ht="12.95" customHeight="1" x14ac:dyDescent="0.2">
      <c r="B17" s="2454" t="s">
        <v>228</v>
      </c>
      <c r="C17" s="2286"/>
      <c r="D17" s="2286"/>
      <c r="E17" s="2286"/>
      <c r="F17" s="2286"/>
      <c r="G17" s="2286"/>
      <c r="H17" s="2286"/>
      <c r="I17" s="2286"/>
      <c r="J17" s="2286"/>
      <c r="K17" s="2724"/>
      <c r="L17" s="2725" t="s">
        <v>287</v>
      </c>
      <c r="M17" s="2726"/>
      <c r="N17" s="2727"/>
      <c r="O17" s="2610">
        <f>P29</f>
        <v>1966746442</v>
      </c>
      <c r="P17" s="2611"/>
    </row>
    <row r="18" spans="2:19" ht="12.95" customHeight="1" x14ac:dyDescent="0.2">
      <c r="B18" s="2454" t="s">
        <v>229</v>
      </c>
      <c r="C18" s="2286"/>
      <c r="D18" s="2286"/>
      <c r="E18" s="2286"/>
      <c r="F18" s="2286"/>
      <c r="G18" s="2286"/>
      <c r="H18" s="2286"/>
      <c r="I18" s="2286"/>
      <c r="J18" s="2286"/>
      <c r="K18" s="2724"/>
      <c r="L18" s="2725" t="s">
        <v>692</v>
      </c>
      <c r="M18" s="2726"/>
      <c r="N18" s="2727"/>
      <c r="O18" s="2753" t="s">
        <v>693</v>
      </c>
      <c r="P18" s="2754"/>
    </row>
    <row r="19" spans="2:19" ht="12.95" customHeight="1" x14ac:dyDescent="0.2">
      <c r="B19" s="2454" t="s">
        <v>230</v>
      </c>
      <c r="C19" s="2286"/>
      <c r="D19" s="2286"/>
      <c r="E19" s="2286"/>
      <c r="F19" s="2286"/>
      <c r="G19" s="2286"/>
      <c r="H19" s="2286"/>
      <c r="I19" s="2286"/>
      <c r="J19" s="2286"/>
      <c r="K19" s="2724"/>
      <c r="L19" s="2725" t="s">
        <v>781</v>
      </c>
      <c r="M19" s="2726"/>
      <c r="N19" s="2727"/>
      <c r="O19" s="2753" t="s">
        <v>953</v>
      </c>
      <c r="P19" s="2754"/>
    </row>
    <row r="20" spans="2:19" ht="6.95" customHeight="1" x14ac:dyDescent="0.2">
      <c r="B20" s="2445"/>
      <c r="C20" s="2446"/>
      <c r="D20" s="2446"/>
      <c r="E20" s="2446"/>
      <c r="F20" s="2446"/>
      <c r="G20" s="2446"/>
      <c r="H20" s="2446"/>
      <c r="I20" s="2446"/>
      <c r="J20" s="2446"/>
      <c r="K20" s="2446"/>
      <c r="L20" s="2446"/>
      <c r="M20" s="2446"/>
      <c r="N20" s="2446"/>
      <c r="O20" s="2446"/>
      <c r="P20" s="2447"/>
    </row>
    <row r="21" spans="2:19" ht="12.95" customHeight="1" x14ac:dyDescent="0.2">
      <c r="B21" s="2736" t="s">
        <v>303</v>
      </c>
      <c r="C21" s="2737"/>
      <c r="D21" s="2737"/>
      <c r="E21" s="2737"/>
      <c r="F21" s="2737"/>
      <c r="G21" s="2737"/>
      <c r="H21" s="2737"/>
      <c r="I21" s="2737"/>
      <c r="J21" s="2737"/>
      <c r="K21" s="2737"/>
      <c r="L21" s="2737"/>
      <c r="M21" s="2737"/>
      <c r="N21" s="2737"/>
      <c r="O21" s="2737"/>
      <c r="P21" s="2738"/>
    </row>
    <row r="22" spans="2:19" ht="12.95" customHeight="1" x14ac:dyDescent="0.2">
      <c r="B22" s="2487" t="s">
        <v>231</v>
      </c>
      <c r="C22" s="2488"/>
      <c r="D22" s="2488"/>
      <c r="E22" s="2488"/>
      <c r="F22" s="2488"/>
      <c r="G22" s="2488"/>
      <c r="H22" s="2488"/>
      <c r="I22" s="2488"/>
      <c r="J22" s="2488"/>
      <c r="K22" s="2488"/>
      <c r="L22" s="2488"/>
      <c r="M22" s="2488"/>
      <c r="N22" s="2488"/>
      <c r="O22" s="2488"/>
      <c r="P22" s="2489"/>
    </row>
    <row r="23" spans="2:19" ht="12.95" customHeight="1" x14ac:dyDescent="0.2">
      <c r="B23" s="2490" t="s">
        <v>38</v>
      </c>
      <c r="C23" s="2491"/>
      <c r="D23" s="2491"/>
      <c r="E23" s="2491"/>
      <c r="F23" s="2491"/>
      <c r="G23" s="2491"/>
      <c r="H23" s="2491"/>
      <c r="I23" s="2491"/>
      <c r="J23" s="2491"/>
      <c r="K23" s="2491"/>
      <c r="L23" s="2491"/>
      <c r="M23" s="2491"/>
      <c r="N23" s="2491"/>
      <c r="O23" s="2491"/>
      <c r="P23" s="2492"/>
    </row>
    <row r="24" spans="2:19" ht="12.95" customHeight="1" x14ac:dyDescent="0.2">
      <c r="B24" s="2493"/>
      <c r="C24" s="2264"/>
      <c r="D24" s="2264"/>
      <c r="E24" s="2264"/>
      <c r="F24" s="2264"/>
      <c r="G24" s="2264"/>
      <c r="H24" s="2264"/>
      <c r="I24" s="2264"/>
      <c r="J24" s="2264"/>
      <c r="K24" s="2494"/>
      <c r="L24" s="2603" t="s">
        <v>191</v>
      </c>
      <c r="M24" s="2742" t="s">
        <v>198</v>
      </c>
      <c r="N24" s="2499"/>
      <c r="O24" s="2743"/>
      <c r="P24" s="718"/>
    </row>
    <row r="25" spans="2:19" ht="12.95" customHeight="1" x14ac:dyDescent="0.2">
      <c r="B25" s="2448" t="s">
        <v>189</v>
      </c>
      <c r="C25" s="2449"/>
      <c r="D25" s="2449"/>
      <c r="E25" s="2449"/>
      <c r="F25" s="2449"/>
      <c r="G25" s="2449"/>
      <c r="H25" s="2449"/>
      <c r="I25" s="2449"/>
      <c r="J25" s="2449"/>
      <c r="K25" s="2450"/>
      <c r="L25" s="2405"/>
      <c r="M25" s="2750" t="s">
        <v>200</v>
      </c>
      <c r="N25" s="2603" t="s">
        <v>26</v>
      </c>
      <c r="O25" s="2603" t="s">
        <v>217</v>
      </c>
      <c r="P25" s="78" t="s">
        <v>192</v>
      </c>
    </row>
    <row r="26" spans="2:19" ht="12.95" customHeight="1" x14ac:dyDescent="0.2">
      <c r="B26" s="2448" t="s">
        <v>197</v>
      </c>
      <c r="C26" s="2449"/>
      <c r="D26" s="2449"/>
      <c r="E26" s="2449"/>
      <c r="F26" s="2449"/>
      <c r="G26" s="2449"/>
      <c r="H26" s="2449"/>
      <c r="I26" s="2449"/>
      <c r="J26" s="2449"/>
      <c r="K26" s="2450"/>
      <c r="L26" s="2405"/>
      <c r="M26" s="2496"/>
      <c r="N26" s="2405"/>
      <c r="O26" s="2405"/>
      <c r="P26" s="78" t="s">
        <v>193</v>
      </c>
    </row>
    <row r="27" spans="2:19" ht="12.95" customHeight="1" x14ac:dyDescent="0.2">
      <c r="B27" s="2451"/>
      <c r="C27" s="2452"/>
      <c r="D27" s="2452"/>
      <c r="E27" s="2452"/>
      <c r="F27" s="2452"/>
      <c r="G27" s="2452"/>
      <c r="H27" s="2452"/>
      <c r="I27" s="2452"/>
      <c r="J27" s="2452"/>
      <c r="K27" s="2453"/>
      <c r="L27" s="2406"/>
      <c r="M27" s="2497"/>
      <c r="N27" s="2406"/>
      <c r="O27" s="2406"/>
      <c r="P27" s="719"/>
    </row>
    <row r="28" spans="2:19" ht="12.95" customHeight="1" thickBot="1" x14ac:dyDescent="0.25">
      <c r="B28" s="2483">
        <v>1</v>
      </c>
      <c r="C28" s="2484"/>
      <c r="D28" s="2484"/>
      <c r="E28" s="2484"/>
      <c r="F28" s="2484"/>
      <c r="G28" s="2484"/>
      <c r="H28" s="2484"/>
      <c r="I28" s="2484"/>
      <c r="J28" s="2484"/>
      <c r="K28" s="2485"/>
      <c r="L28" s="1077">
        <v>2</v>
      </c>
      <c r="M28" s="1077">
        <v>3</v>
      </c>
      <c r="N28" s="1077">
        <v>4</v>
      </c>
      <c r="O28" s="12">
        <v>5</v>
      </c>
      <c r="P28" s="79" t="s">
        <v>24</v>
      </c>
    </row>
    <row r="29" spans="2:19" ht="12.95" customHeight="1" thickTop="1" x14ac:dyDescent="0.2">
      <c r="B29" s="331">
        <v>1</v>
      </c>
      <c r="C29" s="332" t="s">
        <v>440</v>
      </c>
      <c r="D29" s="332" t="s">
        <v>142</v>
      </c>
      <c r="E29" s="333"/>
      <c r="F29" s="1898"/>
      <c r="G29" s="335">
        <v>5</v>
      </c>
      <c r="H29" s="335">
        <v>2</v>
      </c>
      <c r="I29" s="1898"/>
      <c r="J29" s="1898"/>
      <c r="K29" s="1898"/>
      <c r="L29" s="336" t="s">
        <v>108</v>
      </c>
      <c r="M29" s="14"/>
      <c r="N29" s="14"/>
      <c r="O29" s="15"/>
      <c r="P29" s="337">
        <f>P31</f>
        <v>1966746442</v>
      </c>
      <c r="Q29" s="1217"/>
    </row>
    <row r="30" spans="2:19" ht="12.95" customHeight="1" x14ac:dyDescent="0.2">
      <c r="B30" s="80"/>
      <c r="C30" s="33"/>
      <c r="D30" s="33"/>
      <c r="E30" s="59"/>
      <c r="F30" s="1079"/>
      <c r="G30" s="46"/>
      <c r="H30" s="46"/>
      <c r="I30" s="1079"/>
      <c r="J30" s="1079"/>
      <c r="K30" s="1079"/>
      <c r="L30" s="25"/>
      <c r="M30" s="16"/>
      <c r="N30" s="16"/>
      <c r="O30" s="18"/>
      <c r="P30" s="259"/>
      <c r="Q30" s="725"/>
      <c r="S30" s="725"/>
    </row>
    <row r="31" spans="2:19" ht="12.95" customHeight="1" x14ac:dyDescent="0.2">
      <c r="B31" s="80">
        <v>1</v>
      </c>
      <c r="C31" s="33" t="s">
        <v>440</v>
      </c>
      <c r="D31" s="33" t="s">
        <v>142</v>
      </c>
      <c r="E31" s="60">
        <v>15</v>
      </c>
      <c r="F31" s="33"/>
      <c r="G31" s="46"/>
      <c r="H31" s="46"/>
      <c r="I31" s="1079"/>
      <c r="J31" s="1079"/>
      <c r="K31" s="1079"/>
      <c r="L31" s="63" t="s">
        <v>609</v>
      </c>
      <c r="M31" s="16"/>
      <c r="N31" s="16"/>
      <c r="O31" s="18"/>
      <c r="P31" s="259">
        <f>P33</f>
        <v>1966746442</v>
      </c>
    </row>
    <row r="32" spans="2:19" ht="12.95" customHeight="1" x14ac:dyDescent="0.2">
      <c r="B32" s="80"/>
      <c r="C32" s="33"/>
      <c r="D32" s="33"/>
      <c r="E32" s="60"/>
      <c r="F32" s="33"/>
      <c r="G32" s="46"/>
      <c r="H32" s="46"/>
      <c r="I32" s="1079"/>
      <c r="J32" s="1079"/>
      <c r="K32" s="1079"/>
      <c r="L32" s="63" t="s">
        <v>610</v>
      </c>
      <c r="M32" s="16"/>
      <c r="N32" s="16"/>
      <c r="O32" s="18"/>
      <c r="P32" s="260"/>
    </row>
    <row r="33" spans="2:19" ht="12.95" customHeight="1" x14ac:dyDescent="0.2">
      <c r="B33" s="80">
        <v>1</v>
      </c>
      <c r="C33" s="33" t="s">
        <v>440</v>
      </c>
      <c r="D33" s="33" t="s">
        <v>142</v>
      </c>
      <c r="E33" s="60">
        <v>15</v>
      </c>
      <c r="F33" s="60" t="s">
        <v>144</v>
      </c>
      <c r="G33" s="46"/>
      <c r="H33" s="46"/>
      <c r="I33" s="1079"/>
      <c r="J33" s="1079"/>
      <c r="K33" s="33"/>
      <c r="L33" s="261" t="s">
        <v>611</v>
      </c>
      <c r="M33" s="16"/>
      <c r="N33" s="18"/>
      <c r="O33" s="18"/>
      <c r="P33" s="259">
        <f>P36+P67+P116</f>
        <v>1966746442</v>
      </c>
    </row>
    <row r="34" spans="2:19" ht="12.95" customHeight="1" x14ac:dyDescent="0.2">
      <c r="B34" s="80"/>
      <c r="C34" s="33"/>
      <c r="D34" s="33"/>
      <c r="E34" s="60"/>
      <c r="F34" s="33"/>
      <c r="G34" s="46"/>
      <c r="H34" s="46"/>
      <c r="I34" s="1079"/>
      <c r="J34" s="1079"/>
      <c r="K34" s="33"/>
      <c r="L34" s="261" t="s">
        <v>612</v>
      </c>
      <c r="M34" s="16"/>
      <c r="N34" s="18"/>
      <c r="O34" s="17"/>
      <c r="P34" s="259"/>
    </row>
    <row r="35" spans="2:19" ht="12.95" customHeight="1" x14ac:dyDescent="0.2">
      <c r="B35" s="80"/>
      <c r="C35" s="33"/>
      <c r="D35" s="33"/>
      <c r="E35" s="60"/>
      <c r="F35" s="33"/>
      <c r="G35" s="46"/>
      <c r="H35" s="46"/>
      <c r="I35" s="1079"/>
      <c r="J35" s="1079"/>
      <c r="K35" s="33"/>
      <c r="L35" s="126"/>
      <c r="M35" s="16"/>
      <c r="N35" s="18"/>
      <c r="O35" s="17"/>
      <c r="P35" s="260"/>
    </row>
    <row r="36" spans="2:19" ht="12.95" customHeight="1" x14ac:dyDescent="0.2">
      <c r="B36" s="80">
        <v>1</v>
      </c>
      <c r="C36" s="33" t="s">
        <v>440</v>
      </c>
      <c r="D36" s="33" t="s">
        <v>142</v>
      </c>
      <c r="E36" s="60">
        <v>15</v>
      </c>
      <c r="F36" s="60" t="s">
        <v>144</v>
      </c>
      <c r="G36" s="46">
        <v>5</v>
      </c>
      <c r="H36" s="46">
        <v>2</v>
      </c>
      <c r="I36" s="1079">
        <v>1</v>
      </c>
      <c r="J36" s="1079"/>
      <c r="K36" s="1079"/>
      <c r="L36" s="25" t="s">
        <v>86</v>
      </c>
      <c r="M36" s="338"/>
      <c r="N36" s="262"/>
      <c r="O36" s="184"/>
      <c r="P36" s="259">
        <f>P37+P60</f>
        <v>65100000</v>
      </c>
    </row>
    <row r="37" spans="2:19" ht="12.95" customHeight="1" x14ac:dyDescent="0.2">
      <c r="B37" s="80">
        <v>1</v>
      </c>
      <c r="C37" s="33" t="s">
        <v>440</v>
      </c>
      <c r="D37" s="33" t="s">
        <v>142</v>
      </c>
      <c r="E37" s="60">
        <v>15</v>
      </c>
      <c r="F37" s="60" t="s">
        <v>144</v>
      </c>
      <c r="G37" s="46">
        <v>5</v>
      </c>
      <c r="H37" s="46">
        <v>2</v>
      </c>
      <c r="I37" s="1079">
        <v>1</v>
      </c>
      <c r="J37" s="33" t="s">
        <v>142</v>
      </c>
      <c r="K37" s="1079"/>
      <c r="L37" s="339" t="s">
        <v>159</v>
      </c>
      <c r="M37" s="338"/>
      <c r="N37" s="263"/>
      <c r="O37" s="264"/>
      <c r="P37" s="259">
        <f>P38+P41</f>
        <v>65100000</v>
      </c>
      <c r="R37" s="1218"/>
      <c r="S37" s="1218"/>
    </row>
    <row r="38" spans="2:19" ht="12.95" customHeight="1" x14ac:dyDescent="0.2">
      <c r="B38" s="80">
        <v>1</v>
      </c>
      <c r="C38" s="33" t="s">
        <v>440</v>
      </c>
      <c r="D38" s="33" t="s">
        <v>142</v>
      </c>
      <c r="E38" s="60">
        <v>15</v>
      </c>
      <c r="F38" s="60" t="s">
        <v>144</v>
      </c>
      <c r="G38" s="46">
        <v>5</v>
      </c>
      <c r="H38" s="46">
        <v>2</v>
      </c>
      <c r="I38" s="1079">
        <v>1</v>
      </c>
      <c r="J38" s="33" t="s">
        <v>142</v>
      </c>
      <c r="K38" s="33" t="s">
        <v>142</v>
      </c>
      <c r="L38" s="340" t="s">
        <v>269</v>
      </c>
      <c r="M38" s="1897"/>
      <c r="N38" s="265"/>
      <c r="O38" s="266"/>
      <c r="P38" s="267">
        <f>SUM(P39:P39)</f>
        <v>2100000</v>
      </c>
      <c r="R38" s="1218"/>
      <c r="S38" s="1218"/>
    </row>
    <row r="39" spans="2:19" ht="26.1" customHeight="1" x14ac:dyDescent="0.2">
      <c r="B39" s="80"/>
      <c r="C39" s="33"/>
      <c r="D39" s="33"/>
      <c r="E39" s="67"/>
      <c r="F39" s="33"/>
      <c r="G39" s="1079"/>
      <c r="H39" s="1079"/>
      <c r="I39" s="1079"/>
      <c r="J39" s="33"/>
      <c r="K39" s="33"/>
      <c r="L39" s="1584" t="s">
        <v>948</v>
      </c>
      <c r="M39" s="480">
        <v>6</v>
      </c>
      <c r="N39" s="362" t="s">
        <v>106</v>
      </c>
      <c r="O39" s="363">
        <v>350000</v>
      </c>
      <c r="P39" s="483">
        <f>O39*M39</f>
        <v>2100000</v>
      </c>
      <c r="R39" s="1218"/>
      <c r="S39" s="1218"/>
    </row>
    <row r="40" spans="2:19" ht="12.95" customHeight="1" x14ac:dyDescent="0.2">
      <c r="B40" s="80"/>
      <c r="C40" s="33"/>
      <c r="D40" s="33"/>
      <c r="E40" s="67"/>
      <c r="F40" s="33"/>
      <c r="G40" s="1079"/>
      <c r="H40" s="1079"/>
      <c r="I40" s="1079"/>
      <c r="J40" s="33"/>
      <c r="K40" s="33"/>
      <c r="L40" s="505"/>
      <c r="M40" s="367"/>
      <c r="N40" s="265"/>
      <c r="O40" s="268"/>
      <c r="P40" s="267"/>
      <c r="R40" s="1218"/>
      <c r="S40" s="1218"/>
    </row>
    <row r="41" spans="2:19" s="1890" customFormat="1" ht="12.95" customHeight="1" x14ac:dyDescent="0.2">
      <c r="B41" s="80">
        <v>1</v>
      </c>
      <c r="C41" s="33" t="s">
        <v>440</v>
      </c>
      <c r="D41" s="33" t="s">
        <v>142</v>
      </c>
      <c r="E41" s="60">
        <v>15</v>
      </c>
      <c r="F41" s="60" t="s">
        <v>144</v>
      </c>
      <c r="G41" s="46">
        <v>5</v>
      </c>
      <c r="H41" s="46">
        <v>2</v>
      </c>
      <c r="I41" s="1079">
        <v>1</v>
      </c>
      <c r="J41" s="33" t="s">
        <v>142</v>
      </c>
      <c r="K41" s="33" t="s">
        <v>181</v>
      </c>
      <c r="L41" s="505" t="s">
        <v>613</v>
      </c>
      <c r="M41" s="367"/>
      <c r="N41" s="265"/>
      <c r="O41" s="268"/>
      <c r="P41" s="267">
        <f>SUM(P42+P51)</f>
        <v>63000000</v>
      </c>
      <c r="Q41" s="1891"/>
      <c r="R41" s="1892"/>
      <c r="S41" s="1892"/>
    </row>
    <row r="42" spans="2:19" s="1890" customFormat="1" ht="27" customHeight="1" x14ac:dyDescent="0.2">
      <c r="B42" s="1927"/>
      <c r="C42" s="1928"/>
      <c r="D42" s="1928"/>
      <c r="E42" s="1929"/>
      <c r="F42" s="1928"/>
      <c r="G42" s="1930"/>
      <c r="H42" s="1930"/>
      <c r="I42" s="1930"/>
      <c r="J42" s="1928"/>
      <c r="K42" s="1928"/>
      <c r="L42" s="1929" t="s">
        <v>1090</v>
      </c>
      <c r="M42" s="1931"/>
      <c r="N42" s="1932"/>
      <c r="O42" s="1933"/>
      <c r="P42" s="1512">
        <f>SUM(P43:P49)</f>
        <v>36000000</v>
      </c>
      <c r="Q42" s="1893"/>
      <c r="R42" s="1892"/>
      <c r="S42" s="1892"/>
    </row>
    <row r="43" spans="2:19" s="1890" customFormat="1" ht="16.5" customHeight="1" x14ac:dyDescent="0.2">
      <c r="B43" s="1934"/>
      <c r="C43" s="1935"/>
      <c r="D43" s="1935"/>
      <c r="E43" s="1748"/>
      <c r="F43" s="1935"/>
      <c r="G43" s="1936"/>
      <c r="H43" s="1936"/>
      <c r="I43" s="1936"/>
      <c r="J43" s="1935"/>
      <c r="K43" s="1935"/>
      <c r="L43" s="1937" t="s">
        <v>998</v>
      </c>
      <c r="M43" s="1923">
        <f>2*6</f>
        <v>12</v>
      </c>
      <c r="N43" s="1618" t="s">
        <v>138</v>
      </c>
      <c r="O43" s="1362">
        <v>500000</v>
      </c>
      <c r="P43" s="1619">
        <f t="shared" ref="P43:P49" si="0">SUM(O43*M43)</f>
        <v>6000000</v>
      </c>
      <c r="Q43" s="1891"/>
      <c r="R43" s="1894"/>
      <c r="S43" s="1892"/>
    </row>
    <row r="44" spans="2:19" s="1890" customFormat="1" ht="12.95" customHeight="1" x14ac:dyDescent="0.2">
      <c r="B44" s="1934"/>
      <c r="C44" s="1935"/>
      <c r="D44" s="1935"/>
      <c r="E44" s="1748"/>
      <c r="F44" s="1935"/>
      <c r="G44" s="1936"/>
      <c r="H44" s="1936"/>
      <c r="I44" s="1936"/>
      <c r="J44" s="1935"/>
      <c r="K44" s="1935"/>
      <c r="L44" s="1937" t="s">
        <v>674</v>
      </c>
      <c r="M44" s="1923">
        <v>6</v>
      </c>
      <c r="N44" s="1618" t="s">
        <v>138</v>
      </c>
      <c r="O44" s="1362">
        <v>450000</v>
      </c>
      <c r="P44" s="1619">
        <f t="shared" si="0"/>
        <v>2700000</v>
      </c>
      <c r="Q44" s="1891"/>
      <c r="R44" s="1894"/>
      <c r="S44" s="1892"/>
    </row>
    <row r="45" spans="2:19" ht="12.95" customHeight="1" x14ac:dyDescent="0.2">
      <c r="B45" s="1934"/>
      <c r="C45" s="1935"/>
      <c r="D45" s="1935"/>
      <c r="E45" s="1748"/>
      <c r="F45" s="1935"/>
      <c r="G45" s="1936"/>
      <c r="H45" s="1936"/>
      <c r="I45" s="1936"/>
      <c r="J45" s="1935"/>
      <c r="K45" s="1935"/>
      <c r="L45" s="1937" t="s">
        <v>679</v>
      </c>
      <c r="M45" s="1923">
        <f t="shared" ref="M45:M47" si="1">1*6</f>
        <v>6</v>
      </c>
      <c r="N45" s="1618" t="s">
        <v>138</v>
      </c>
      <c r="O45" s="1362">
        <v>400000</v>
      </c>
      <c r="P45" s="1619">
        <f t="shared" si="0"/>
        <v>2400000</v>
      </c>
      <c r="R45" s="1220"/>
      <c r="S45" s="1218"/>
    </row>
    <row r="46" spans="2:19" ht="9.9499999999999993" customHeight="1" x14ac:dyDescent="0.2">
      <c r="B46" s="1934"/>
      <c r="C46" s="1935"/>
      <c r="D46" s="1935"/>
      <c r="E46" s="1748"/>
      <c r="F46" s="1935"/>
      <c r="G46" s="1936"/>
      <c r="H46" s="1936"/>
      <c r="I46" s="1936"/>
      <c r="J46" s="1935"/>
      <c r="K46" s="1935"/>
      <c r="L46" s="1937" t="s">
        <v>675</v>
      </c>
      <c r="M46" s="1923">
        <f t="shared" si="1"/>
        <v>6</v>
      </c>
      <c r="N46" s="1618" t="s">
        <v>138</v>
      </c>
      <c r="O46" s="1362">
        <v>350000</v>
      </c>
      <c r="P46" s="1619">
        <f t="shared" si="0"/>
        <v>2100000</v>
      </c>
      <c r="R46" s="1220"/>
      <c r="S46" s="1218"/>
    </row>
    <row r="47" spans="2:19" ht="12.95" customHeight="1" x14ac:dyDescent="0.2">
      <c r="B47" s="1934"/>
      <c r="C47" s="1935"/>
      <c r="D47" s="1935"/>
      <c r="E47" s="1748"/>
      <c r="F47" s="1935"/>
      <c r="G47" s="1936"/>
      <c r="H47" s="1936"/>
      <c r="I47" s="1936"/>
      <c r="J47" s="1935"/>
      <c r="K47" s="1935"/>
      <c r="L47" s="1937" t="s">
        <v>676</v>
      </c>
      <c r="M47" s="1923">
        <f t="shared" si="1"/>
        <v>6</v>
      </c>
      <c r="N47" s="1618" t="s">
        <v>138</v>
      </c>
      <c r="O47" s="1362">
        <v>300000</v>
      </c>
      <c r="P47" s="1619">
        <f t="shared" si="0"/>
        <v>1800000</v>
      </c>
      <c r="R47" s="1220"/>
      <c r="S47" s="1218"/>
    </row>
    <row r="48" spans="2:19" ht="12.95" customHeight="1" x14ac:dyDescent="0.2">
      <c r="B48" s="1934"/>
      <c r="C48" s="1935"/>
      <c r="D48" s="1935"/>
      <c r="E48" s="1748"/>
      <c r="F48" s="1935"/>
      <c r="G48" s="1936"/>
      <c r="H48" s="1936"/>
      <c r="I48" s="1936"/>
      <c r="J48" s="1935"/>
      <c r="K48" s="1935"/>
      <c r="L48" s="1937" t="s">
        <v>1058</v>
      </c>
      <c r="M48" s="1923">
        <f>2*6</f>
        <v>12</v>
      </c>
      <c r="N48" s="1618" t="s">
        <v>138</v>
      </c>
      <c r="O48" s="1362">
        <v>250000</v>
      </c>
      <c r="P48" s="1619">
        <f t="shared" si="0"/>
        <v>3000000</v>
      </c>
      <c r="R48" s="1220"/>
      <c r="S48" s="1218"/>
    </row>
    <row r="49" spans="2:19" ht="12.95" customHeight="1" x14ac:dyDescent="0.2">
      <c r="B49" s="1934"/>
      <c r="C49" s="1935"/>
      <c r="D49" s="1935"/>
      <c r="E49" s="1748"/>
      <c r="F49" s="1935"/>
      <c r="G49" s="1936"/>
      <c r="H49" s="1936"/>
      <c r="I49" s="1936"/>
      <c r="J49" s="1935"/>
      <c r="K49" s="1935"/>
      <c r="L49" s="1938" t="s">
        <v>1059</v>
      </c>
      <c r="M49" s="1923">
        <f>15*6</f>
        <v>90</v>
      </c>
      <c r="N49" s="1455" t="s">
        <v>138</v>
      </c>
      <c r="O49" s="1364">
        <v>200000</v>
      </c>
      <c r="P49" s="1456">
        <f t="shared" si="0"/>
        <v>18000000</v>
      </c>
      <c r="R49" s="1220"/>
      <c r="S49" s="1218"/>
    </row>
    <row r="50" spans="2:19" ht="12.95" customHeight="1" x14ac:dyDescent="0.2">
      <c r="B50" s="1934"/>
      <c r="C50" s="1935"/>
      <c r="D50" s="1935"/>
      <c r="E50" s="1748"/>
      <c r="F50" s="1935"/>
      <c r="G50" s="1936"/>
      <c r="H50" s="1936"/>
      <c r="I50" s="1936"/>
      <c r="J50" s="1935"/>
      <c r="K50" s="1935"/>
      <c r="L50" s="1939"/>
      <c r="M50" s="1940"/>
      <c r="N50" s="1941"/>
      <c r="O50" s="1942"/>
      <c r="P50" s="1943"/>
      <c r="R50" s="1220"/>
      <c r="S50" s="1218"/>
    </row>
    <row r="51" spans="2:19" ht="14.45" customHeight="1" x14ac:dyDescent="0.2">
      <c r="B51" s="1934"/>
      <c r="C51" s="1935"/>
      <c r="D51" s="1935"/>
      <c r="E51" s="1748"/>
      <c r="F51" s="1935"/>
      <c r="G51" s="1936"/>
      <c r="H51" s="1936"/>
      <c r="I51" s="1936"/>
      <c r="J51" s="1935"/>
      <c r="K51" s="1935"/>
      <c r="L51" s="1929" t="s">
        <v>1091</v>
      </c>
      <c r="M51" s="1931"/>
      <c r="N51" s="1932"/>
      <c r="O51" s="1933"/>
      <c r="P51" s="1512">
        <f>SUM(P52:P58)</f>
        <v>27000000</v>
      </c>
      <c r="R51" s="1220"/>
      <c r="S51" s="1218"/>
    </row>
    <row r="52" spans="2:19" ht="12.95" customHeight="1" x14ac:dyDescent="0.2">
      <c r="B52" s="1934"/>
      <c r="C52" s="1935"/>
      <c r="D52" s="1935"/>
      <c r="E52" s="1748"/>
      <c r="F52" s="1935"/>
      <c r="G52" s="1936"/>
      <c r="H52" s="1936"/>
      <c r="I52" s="1936"/>
      <c r="J52" s="1935"/>
      <c r="K52" s="1935"/>
      <c r="L52" s="1937" t="s">
        <v>677</v>
      </c>
      <c r="M52" s="1923">
        <f>2*6</f>
        <v>12</v>
      </c>
      <c r="N52" s="1618" t="s">
        <v>138</v>
      </c>
      <c r="O52" s="1362">
        <v>500000</v>
      </c>
      <c r="P52" s="1619">
        <f t="shared" ref="P52:P58" si="2">SUM(O52*M52)</f>
        <v>6000000</v>
      </c>
      <c r="R52" s="1220"/>
      <c r="S52" s="1218"/>
    </row>
    <row r="53" spans="2:19" ht="12.95" customHeight="1" x14ac:dyDescent="0.2">
      <c r="B53" s="1934"/>
      <c r="C53" s="1935"/>
      <c r="D53" s="1935"/>
      <c r="E53" s="1748"/>
      <c r="F53" s="1935"/>
      <c r="G53" s="1936"/>
      <c r="H53" s="1936"/>
      <c r="I53" s="1936"/>
      <c r="J53" s="1935"/>
      <c r="K53" s="1935"/>
      <c r="L53" s="1937" t="s">
        <v>674</v>
      </c>
      <c r="M53" s="1923">
        <v>6</v>
      </c>
      <c r="N53" s="1618" t="s">
        <v>138</v>
      </c>
      <c r="O53" s="1362">
        <v>450000</v>
      </c>
      <c r="P53" s="1619">
        <f t="shared" si="2"/>
        <v>2700000</v>
      </c>
      <c r="R53" s="1220"/>
      <c r="S53" s="1218"/>
    </row>
    <row r="54" spans="2:19" ht="12.95" customHeight="1" x14ac:dyDescent="0.2">
      <c r="B54" s="1934"/>
      <c r="C54" s="1935"/>
      <c r="D54" s="1935"/>
      <c r="E54" s="1748"/>
      <c r="F54" s="1935"/>
      <c r="G54" s="1936"/>
      <c r="H54" s="1936"/>
      <c r="I54" s="1936"/>
      <c r="J54" s="1935"/>
      <c r="K54" s="1935"/>
      <c r="L54" s="1937" t="s">
        <v>679</v>
      </c>
      <c r="M54" s="1923">
        <f t="shared" ref="M54:M56" si="3">1*6</f>
        <v>6</v>
      </c>
      <c r="N54" s="1618" t="s">
        <v>138</v>
      </c>
      <c r="O54" s="1362">
        <v>400000</v>
      </c>
      <c r="P54" s="1619">
        <f t="shared" si="2"/>
        <v>2400000</v>
      </c>
      <c r="R54" s="1220"/>
      <c r="S54" s="1218"/>
    </row>
    <row r="55" spans="2:19" ht="12.6" customHeight="1" x14ac:dyDescent="0.2">
      <c r="B55" s="1934"/>
      <c r="C55" s="1935"/>
      <c r="D55" s="1935"/>
      <c r="E55" s="1748"/>
      <c r="F55" s="1935"/>
      <c r="G55" s="1936"/>
      <c r="H55" s="1936"/>
      <c r="I55" s="1936"/>
      <c r="J55" s="1935"/>
      <c r="K55" s="1935"/>
      <c r="L55" s="1937" t="s">
        <v>675</v>
      </c>
      <c r="M55" s="1923">
        <f t="shared" si="3"/>
        <v>6</v>
      </c>
      <c r="N55" s="1618" t="s">
        <v>138</v>
      </c>
      <c r="O55" s="1362">
        <v>350000</v>
      </c>
      <c r="P55" s="1619">
        <f t="shared" si="2"/>
        <v>2100000</v>
      </c>
      <c r="R55" s="1220"/>
      <c r="S55" s="1218"/>
    </row>
    <row r="56" spans="2:19" ht="12.95" customHeight="1" x14ac:dyDescent="0.2">
      <c r="B56" s="1934"/>
      <c r="C56" s="1935"/>
      <c r="D56" s="1935"/>
      <c r="E56" s="1748"/>
      <c r="F56" s="1935"/>
      <c r="G56" s="1936"/>
      <c r="H56" s="1936"/>
      <c r="I56" s="1936"/>
      <c r="J56" s="1935"/>
      <c r="K56" s="1935"/>
      <c r="L56" s="1937" t="s">
        <v>676</v>
      </c>
      <c r="M56" s="1923">
        <f t="shared" si="3"/>
        <v>6</v>
      </c>
      <c r="N56" s="1618" t="s">
        <v>138</v>
      </c>
      <c r="O56" s="1362">
        <v>300000</v>
      </c>
      <c r="P56" s="1619">
        <f t="shared" si="2"/>
        <v>1800000</v>
      </c>
      <c r="R56" s="1220"/>
      <c r="S56" s="1218"/>
    </row>
    <row r="57" spans="2:19" ht="12.95" customHeight="1" x14ac:dyDescent="0.2">
      <c r="B57" s="1934"/>
      <c r="C57" s="1935"/>
      <c r="D57" s="1935"/>
      <c r="E57" s="1748"/>
      <c r="F57" s="1935"/>
      <c r="G57" s="1936"/>
      <c r="H57" s="1936"/>
      <c r="I57" s="1936"/>
      <c r="J57" s="1935"/>
      <c r="K57" s="1935"/>
      <c r="L57" s="1937" t="s">
        <v>1060</v>
      </c>
      <c r="M57" s="1923">
        <f>4*6</f>
        <v>24</v>
      </c>
      <c r="N57" s="1618" t="s">
        <v>138</v>
      </c>
      <c r="O57" s="1362">
        <v>250000</v>
      </c>
      <c r="P57" s="1619">
        <f t="shared" si="2"/>
        <v>6000000</v>
      </c>
      <c r="R57" s="1220"/>
      <c r="S57" s="1218"/>
    </row>
    <row r="58" spans="2:19" ht="12.95" customHeight="1" x14ac:dyDescent="0.2">
      <c r="B58" s="1934"/>
      <c r="C58" s="1935"/>
      <c r="D58" s="1935"/>
      <c r="E58" s="1748"/>
      <c r="F58" s="1935"/>
      <c r="G58" s="1936"/>
      <c r="H58" s="1936"/>
      <c r="I58" s="1936"/>
      <c r="J58" s="1935"/>
      <c r="K58" s="1935"/>
      <c r="L58" s="1938" t="s">
        <v>1061</v>
      </c>
      <c r="M58" s="1923">
        <f>5*6</f>
        <v>30</v>
      </c>
      <c r="N58" s="1455" t="s">
        <v>138</v>
      </c>
      <c r="O58" s="1364">
        <v>200000</v>
      </c>
      <c r="P58" s="1456">
        <f t="shared" si="2"/>
        <v>6000000</v>
      </c>
      <c r="R58" s="1220"/>
      <c r="S58" s="1218"/>
    </row>
    <row r="59" spans="2:19" ht="12.95" customHeight="1" x14ac:dyDescent="0.2">
      <c r="B59" s="1751"/>
      <c r="C59" s="1750"/>
      <c r="D59" s="1750"/>
      <c r="E59" s="1752"/>
      <c r="F59" s="1752"/>
      <c r="G59" s="1749"/>
      <c r="H59" s="1749"/>
      <c r="I59" s="1749"/>
      <c r="J59" s="1749"/>
      <c r="K59" s="1749"/>
      <c r="L59" s="1754"/>
      <c r="M59" s="1434"/>
      <c r="N59" s="1620"/>
      <c r="O59" s="1356"/>
      <c r="P59" s="1753"/>
      <c r="R59" s="1220"/>
      <c r="S59" s="1218"/>
    </row>
    <row r="60" spans="2:19" ht="12.95" customHeight="1" x14ac:dyDescent="0.2">
      <c r="B60" s="1585">
        <v>1</v>
      </c>
      <c r="C60" s="1586" t="s">
        <v>440</v>
      </c>
      <c r="D60" s="1586" t="s">
        <v>142</v>
      </c>
      <c r="E60" s="222">
        <v>15</v>
      </c>
      <c r="F60" s="323" t="s">
        <v>572</v>
      </c>
      <c r="G60" s="1749">
        <v>5</v>
      </c>
      <c r="H60" s="1749">
        <v>2</v>
      </c>
      <c r="I60" s="1749">
        <v>1</v>
      </c>
      <c r="J60" s="1750" t="s">
        <v>145</v>
      </c>
      <c r="K60" s="1750"/>
      <c r="L60" s="1755" t="s">
        <v>176</v>
      </c>
      <c r="M60" s="1434"/>
      <c r="N60" s="1756"/>
      <c r="O60" s="1756"/>
      <c r="P60" s="1757">
        <f>P61</f>
        <v>0</v>
      </c>
      <c r="R60" s="1220"/>
      <c r="S60" s="1218"/>
    </row>
    <row r="61" spans="2:19" ht="12.95" customHeight="1" x14ac:dyDescent="0.2">
      <c r="B61" s="1585">
        <v>1</v>
      </c>
      <c r="C61" s="1586" t="s">
        <v>440</v>
      </c>
      <c r="D61" s="1586" t="s">
        <v>142</v>
      </c>
      <c r="E61" s="222">
        <v>15</v>
      </c>
      <c r="F61" s="323" t="s">
        <v>572</v>
      </c>
      <c r="G61" s="1749">
        <v>5</v>
      </c>
      <c r="H61" s="1749">
        <v>2</v>
      </c>
      <c r="I61" s="1749">
        <v>1</v>
      </c>
      <c r="J61" s="1750" t="s">
        <v>145</v>
      </c>
      <c r="K61" s="1750" t="s">
        <v>164</v>
      </c>
      <c r="L61" s="1758" t="s">
        <v>284</v>
      </c>
      <c r="M61" s="1624"/>
      <c r="N61" s="1620"/>
      <c r="O61" s="1620"/>
      <c r="P61" s="1625">
        <f>SUM(P62:P65)</f>
        <v>0</v>
      </c>
      <c r="R61" s="1220"/>
      <c r="S61" s="1218"/>
    </row>
    <row r="62" spans="2:19" ht="12.95" customHeight="1" x14ac:dyDescent="0.2">
      <c r="B62" s="1751"/>
      <c r="C62" s="1750"/>
      <c r="D62" s="1750"/>
      <c r="E62" s="1752"/>
      <c r="F62" s="1750"/>
      <c r="G62" s="1749"/>
      <c r="H62" s="1749"/>
      <c r="I62" s="1749"/>
      <c r="J62" s="1750"/>
      <c r="K62" s="1750"/>
      <c r="L62" s="1747" t="s">
        <v>999</v>
      </c>
      <c r="M62" s="1624">
        <v>2</v>
      </c>
      <c r="N62" s="1620" t="s">
        <v>177</v>
      </c>
      <c r="O62" s="1621">
        <v>0</v>
      </c>
      <c r="P62" s="1625">
        <f>O62*M62</f>
        <v>0</v>
      </c>
      <c r="R62" s="1220"/>
      <c r="S62" s="1218"/>
    </row>
    <row r="63" spans="2:19" ht="12.95" customHeight="1" x14ac:dyDescent="0.2">
      <c r="B63" s="1751"/>
      <c r="C63" s="1750"/>
      <c r="D63" s="1750"/>
      <c r="E63" s="1752"/>
      <c r="F63" s="1750"/>
      <c r="G63" s="1749"/>
      <c r="H63" s="1749"/>
      <c r="I63" s="1749"/>
      <c r="J63" s="1750"/>
      <c r="K63" s="1750"/>
      <c r="L63" s="1747" t="s">
        <v>1000</v>
      </c>
      <c r="M63" s="1624">
        <v>2</v>
      </c>
      <c r="N63" s="1620" t="s">
        <v>177</v>
      </c>
      <c r="O63" s="1621">
        <v>0</v>
      </c>
      <c r="P63" s="1625">
        <f>O63*M63</f>
        <v>0</v>
      </c>
      <c r="R63" s="1220"/>
      <c r="S63" s="1218"/>
    </row>
    <row r="64" spans="2:19" ht="12.95" customHeight="1" x14ac:dyDescent="0.2">
      <c r="B64" s="1751"/>
      <c r="C64" s="1750"/>
      <c r="D64" s="1750"/>
      <c r="E64" s="1752"/>
      <c r="F64" s="1752"/>
      <c r="G64" s="1749"/>
      <c r="H64" s="1749"/>
      <c r="I64" s="1749"/>
      <c r="J64" s="1750"/>
      <c r="K64" s="1749"/>
      <c r="L64" s="1759" t="s">
        <v>1001</v>
      </c>
      <c r="M64" s="1624">
        <v>2</v>
      </c>
      <c r="N64" s="1620" t="s">
        <v>177</v>
      </c>
      <c r="O64" s="1621">
        <v>0</v>
      </c>
      <c r="P64" s="1625">
        <f>O64*M64</f>
        <v>0</v>
      </c>
      <c r="R64" s="1220"/>
      <c r="S64" s="1218"/>
    </row>
    <row r="65" spans="2:19" ht="12.95" customHeight="1" x14ac:dyDescent="0.2">
      <c r="B65" s="1751"/>
      <c r="C65" s="1750"/>
      <c r="D65" s="1750"/>
      <c r="E65" s="1752"/>
      <c r="F65" s="1752"/>
      <c r="G65" s="1749"/>
      <c r="H65" s="1749"/>
      <c r="I65" s="1749"/>
      <c r="J65" s="1750"/>
      <c r="K65" s="1750"/>
      <c r="L65" s="1747" t="s">
        <v>1002</v>
      </c>
      <c r="M65" s="1624">
        <v>2</v>
      </c>
      <c r="N65" s="1620" t="s">
        <v>177</v>
      </c>
      <c r="O65" s="1621">
        <v>0</v>
      </c>
      <c r="P65" s="1625">
        <f>O65*M65</f>
        <v>0</v>
      </c>
      <c r="R65" s="1220"/>
      <c r="S65" s="1218"/>
    </row>
    <row r="66" spans="2:19" ht="12.95" customHeight="1" x14ac:dyDescent="0.2">
      <c r="B66" s="80"/>
      <c r="C66" s="33"/>
      <c r="D66" s="33"/>
      <c r="E66" s="67"/>
      <c r="F66" s="33"/>
      <c r="G66" s="1079"/>
      <c r="H66" s="1079"/>
      <c r="I66" s="1079"/>
      <c r="J66" s="33"/>
      <c r="K66" s="33"/>
      <c r="L66" s="343"/>
      <c r="M66" s="1897"/>
      <c r="N66" s="265"/>
      <c r="O66" s="268"/>
      <c r="P66" s="267"/>
      <c r="R66" s="1220"/>
      <c r="S66" s="1218"/>
    </row>
    <row r="67" spans="2:19" ht="12.95" customHeight="1" x14ac:dyDescent="0.2">
      <c r="B67" s="80">
        <v>1</v>
      </c>
      <c r="C67" s="33" t="s">
        <v>440</v>
      </c>
      <c r="D67" s="33" t="s">
        <v>142</v>
      </c>
      <c r="E67" s="60">
        <v>15</v>
      </c>
      <c r="F67" s="60" t="s">
        <v>144</v>
      </c>
      <c r="G67" s="46">
        <v>5</v>
      </c>
      <c r="H67" s="46">
        <v>2</v>
      </c>
      <c r="I67" s="1079">
        <v>2</v>
      </c>
      <c r="J67" s="33"/>
      <c r="K67" s="33"/>
      <c r="L67" s="25" t="s">
        <v>120</v>
      </c>
      <c r="M67" s="1897"/>
      <c r="N67" s="265"/>
      <c r="O67" s="268"/>
      <c r="P67" s="269">
        <f>P68+P74+P92+P97+P101+P112+P108</f>
        <v>450415600</v>
      </c>
      <c r="R67" s="1220"/>
      <c r="S67" s="1218"/>
    </row>
    <row r="68" spans="2:19" ht="12.95" customHeight="1" x14ac:dyDescent="0.2">
      <c r="B68" s="80">
        <v>1</v>
      </c>
      <c r="C68" s="33" t="s">
        <v>440</v>
      </c>
      <c r="D68" s="33" t="s">
        <v>142</v>
      </c>
      <c r="E68" s="60">
        <v>15</v>
      </c>
      <c r="F68" s="60" t="s">
        <v>144</v>
      </c>
      <c r="G68" s="46">
        <v>5</v>
      </c>
      <c r="H68" s="46">
        <v>2</v>
      </c>
      <c r="I68" s="1079">
        <v>2</v>
      </c>
      <c r="J68" s="33" t="s">
        <v>142</v>
      </c>
      <c r="K68" s="1079"/>
      <c r="L68" s="191" t="s">
        <v>109</v>
      </c>
      <c r="M68" s="185"/>
      <c r="N68" s="185"/>
      <c r="O68" s="262"/>
      <c r="P68" s="259">
        <f>P69</f>
        <v>250000</v>
      </c>
      <c r="R68" s="1220"/>
      <c r="S68" s="1218"/>
    </row>
    <row r="69" spans="2:19" ht="12.95" customHeight="1" x14ac:dyDescent="0.2">
      <c r="B69" s="80">
        <v>1</v>
      </c>
      <c r="C69" s="33" t="s">
        <v>440</v>
      </c>
      <c r="D69" s="33" t="s">
        <v>142</v>
      </c>
      <c r="E69" s="60">
        <v>15</v>
      </c>
      <c r="F69" s="60" t="s">
        <v>144</v>
      </c>
      <c r="G69" s="46">
        <v>5</v>
      </c>
      <c r="H69" s="46">
        <v>2</v>
      </c>
      <c r="I69" s="1079">
        <v>2</v>
      </c>
      <c r="J69" s="33" t="s">
        <v>142</v>
      </c>
      <c r="K69" s="33" t="s">
        <v>142</v>
      </c>
      <c r="L69" s="117" t="s">
        <v>152</v>
      </c>
      <c r="M69" s="185"/>
      <c r="N69" s="185"/>
      <c r="O69" s="262"/>
      <c r="P69" s="260">
        <f>SUM(P70:P72)</f>
        <v>250000</v>
      </c>
      <c r="R69" s="1220"/>
      <c r="S69" s="1218"/>
    </row>
    <row r="70" spans="2:19" ht="12.95" customHeight="1" x14ac:dyDescent="0.2">
      <c r="B70" s="80"/>
      <c r="C70" s="33"/>
      <c r="D70" s="33"/>
      <c r="E70" s="60"/>
      <c r="F70" s="33"/>
      <c r="G70" s="46"/>
      <c r="H70" s="46"/>
      <c r="I70" s="1079"/>
      <c r="J70" s="33"/>
      <c r="K70" s="33"/>
      <c r="L70" s="71" t="s">
        <v>577</v>
      </c>
      <c r="M70" s="272">
        <v>4</v>
      </c>
      <c r="N70" s="185" t="s">
        <v>578</v>
      </c>
      <c r="O70" s="270">
        <v>43750</v>
      </c>
      <c r="P70" s="260">
        <f>M70*O70</f>
        <v>175000</v>
      </c>
      <c r="R70" s="1218"/>
      <c r="S70" s="1218"/>
    </row>
    <row r="71" spans="2:19" ht="12.95" customHeight="1" x14ac:dyDescent="0.2">
      <c r="B71" s="80"/>
      <c r="C71" s="33"/>
      <c r="D71" s="33"/>
      <c r="E71" s="60"/>
      <c r="F71" s="33"/>
      <c r="G71" s="46"/>
      <c r="H71" s="46"/>
      <c r="I71" s="1079"/>
      <c r="J71" s="33"/>
      <c r="K71" s="33"/>
      <c r="L71" s="71" t="s">
        <v>579</v>
      </c>
      <c r="M71" s="272">
        <v>2</v>
      </c>
      <c r="N71" s="185" t="s">
        <v>116</v>
      </c>
      <c r="O71" s="270">
        <v>0</v>
      </c>
      <c r="P71" s="260">
        <f>M71*O71</f>
        <v>0</v>
      </c>
      <c r="R71" s="1218"/>
      <c r="S71" s="1218"/>
    </row>
    <row r="72" spans="2:19" ht="12.95" customHeight="1" x14ac:dyDescent="0.2">
      <c r="B72" s="80"/>
      <c r="C72" s="33"/>
      <c r="D72" s="33"/>
      <c r="E72" s="60"/>
      <c r="F72" s="33"/>
      <c r="G72" s="46"/>
      <c r="H72" s="46"/>
      <c r="I72" s="1079"/>
      <c r="J72" s="33"/>
      <c r="K72" s="33"/>
      <c r="L72" s="71" t="s">
        <v>805</v>
      </c>
      <c r="M72" s="272">
        <v>3</v>
      </c>
      <c r="N72" s="185" t="s">
        <v>580</v>
      </c>
      <c r="O72" s="270">
        <v>25000</v>
      </c>
      <c r="P72" s="260">
        <f>M72*O72</f>
        <v>75000</v>
      </c>
      <c r="R72" s="1218"/>
      <c r="S72" s="1218"/>
    </row>
    <row r="73" spans="2:19" ht="12.95" customHeight="1" x14ac:dyDescent="0.2">
      <c r="B73" s="80"/>
      <c r="C73" s="33"/>
      <c r="D73" s="33"/>
      <c r="E73" s="60"/>
      <c r="F73" s="33"/>
      <c r="G73" s="46"/>
      <c r="H73" s="46"/>
      <c r="I73" s="1079"/>
      <c r="J73" s="33"/>
      <c r="K73" s="33"/>
      <c r="L73" s="71"/>
      <c r="M73" s="127"/>
      <c r="N73" s="185"/>
      <c r="O73" s="270"/>
      <c r="P73" s="260"/>
      <c r="R73" s="1218"/>
      <c r="S73" s="1218"/>
    </row>
    <row r="74" spans="2:19" ht="12.95" customHeight="1" x14ac:dyDescent="0.2">
      <c r="B74" s="80">
        <v>1</v>
      </c>
      <c r="C74" s="33" t="s">
        <v>440</v>
      </c>
      <c r="D74" s="33" t="s">
        <v>142</v>
      </c>
      <c r="E74" s="60">
        <v>15</v>
      </c>
      <c r="F74" s="60" t="s">
        <v>144</v>
      </c>
      <c r="G74" s="46">
        <v>5</v>
      </c>
      <c r="H74" s="46">
        <v>2</v>
      </c>
      <c r="I74" s="1079">
        <v>2</v>
      </c>
      <c r="J74" s="33" t="s">
        <v>164</v>
      </c>
      <c r="K74" s="33"/>
      <c r="L74" s="191" t="s">
        <v>112</v>
      </c>
      <c r="M74" s="1897"/>
      <c r="N74" s="265"/>
      <c r="O74" s="268"/>
      <c r="P74" s="269">
        <f>P80+P89+P75</f>
        <v>269665600</v>
      </c>
      <c r="R74" s="1218"/>
      <c r="S74" s="1218"/>
    </row>
    <row r="75" spans="2:19" ht="12.95" customHeight="1" x14ac:dyDescent="0.2">
      <c r="B75" s="1585">
        <v>1</v>
      </c>
      <c r="C75" s="1586" t="s">
        <v>440</v>
      </c>
      <c r="D75" s="1586" t="s">
        <v>142</v>
      </c>
      <c r="E75" s="1587">
        <v>15</v>
      </c>
      <c r="F75" s="1587" t="s">
        <v>144</v>
      </c>
      <c r="G75" s="1588">
        <v>5</v>
      </c>
      <c r="H75" s="1588">
        <v>2</v>
      </c>
      <c r="I75" s="1589">
        <v>2</v>
      </c>
      <c r="J75" s="1586" t="s">
        <v>164</v>
      </c>
      <c r="K75" s="1586" t="s">
        <v>144</v>
      </c>
      <c r="L75" s="1590" t="s">
        <v>824</v>
      </c>
      <c r="M75" s="1591"/>
      <c r="N75" s="1592"/>
      <c r="O75" s="1593"/>
      <c r="P75" s="1594">
        <f>SUM(P76:P78)</f>
        <v>241665600</v>
      </c>
      <c r="R75" s="1218"/>
      <c r="S75" s="1218"/>
    </row>
    <row r="76" spans="2:19" ht="12.95" customHeight="1" x14ac:dyDescent="0.2">
      <c r="B76" s="1585"/>
      <c r="C76" s="1586"/>
      <c r="D76" s="1586"/>
      <c r="E76" s="1587"/>
      <c r="F76" s="1586"/>
      <c r="G76" s="1588"/>
      <c r="H76" s="1588"/>
      <c r="I76" s="1589"/>
      <c r="J76" s="1586"/>
      <c r="K76" s="1586"/>
      <c r="L76" s="1595" t="s">
        <v>825</v>
      </c>
      <c r="M76" s="1596">
        <v>1</v>
      </c>
      <c r="N76" s="1597" t="s">
        <v>3</v>
      </c>
      <c r="O76" s="1593">
        <v>241665600</v>
      </c>
      <c r="P76" s="1594">
        <f>O76*M76</f>
        <v>241665600</v>
      </c>
      <c r="R76" s="1218"/>
      <c r="S76" s="1218"/>
    </row>
    <row r="77" spans="2:19" ht="12.95" customHeight="1" x14ac:dyDescent="0.2">
      <c r="B77" s="1585"/>
      <c r="C77" s="1586"/>
      <c r="D77" s="1586"/>
      <c r="E77" s="1587"/>
      <c r="F77" s="1586"/>
      <c r="G77" s="1588"/>
      <c r="H77" s="1588"/>
      <c r="I77" s="1589"/>
      <c r="J77" s="1586"/>
      <c r="K77" s="1586"/>
      <c r="L77" s="1587" t="s">
        <v>1006</v>
      </c>
      <c r="M77" s="1774">
        <v>1</v>
      </c>
      <c r="N77" s="1775" t="s">
        <v>3</v>
      </c>
      <c r="O77" s="1776">
        <v>0</v>
      </c>
      <c r="P77" s="1643">
        <f>O77*M77</f>
        <v>0</v>
      </c>
      <c r="R77" s="1218"/>
      <c r="S77" s="1218"/>
    </row>
    <row r="78" spans="2:19" ht="12.95" customHeight="1" x14ac:dyDescent="0.2">
      <c r="B78" s="1585"/>
      <c r="C78" s="1586"/>
      <c r="D78" s="1586"/>
      <c r="E78" s="1587"/>
      <c r="F78" s="1586"/>
      <c r="G78" s="1588"/>
      <c r="H78" s="1588"/>
      <c r="I78" s="1589"/>
      <c r="J78" s="1586"/>
      <c r="K78" s="1586"/>
      <c r="L78" s="1777" t="s">
        <v>1007</v>
      </c>
      <c r="M78" s="1778">
        <v>1</v>
      </c>
      <c r="N78" s="1779" t="s">
        <v>941</v>
      </c>
      <c r="O78" s="1780">
        <v>0</v>
      </c>
      <c r="P78" s="1781">
        <f t="shared" ref="P78" si="4">O78*M78</f>
        <v>0</v>
      </c>
      <c r="R78" s="1218"/>
      <c r="S78" s="1218"/>
    </row>
    <row r="79" spans="2:19" ht="12.95" customHeight="1" x14ac:dyDescent="0.2">
      <c r="B79" s="80"/>
      <c r="C79" s="33"/>
      <c r="D79" s="33"/>
      <c r="E79" s="60"/>
      <c r="F79" s="60"/>
      <c r="G79" s="46"/>
      <c r="H79" s="46"/>
      <c r="I79" s="1079"/>
      <c r="J79" s="33"/>
      <c r="K79" s="33"/>
      <c r="L79" s="191"/>
      <c r="M79" s="1897"/>
      <c r="N79" s="265"/>
      <c r="O79" s="268"/>
      <c r="P79" s="269"/>
      <c r="R79" s="1218"/>
      <c r="S79" s="1218"/>
    </row>
    <row r="80" spans="2:19" ht="12.95" customHeight="1" x14ac:dyDescent="0.2">
      <c r="B80" s="80">
        <v>1</v>
      </c>
      <c r="C80" s="33" t="s">
        <v>440</v>
      </c>
      <c r="D80" s="33" t="s">
        <v>142</v>
      </c>
      <c r="E80" s="60">
        <v>15</v>
      </c>
      <c r="F80" s="60" t="s">
        <v>144</v>
      </c>
      <c r="G80" s="46">
        <v>5</v>
      </c>
      <c r="H80" s="46">
        <v>2</v>
      </c>
      <c r="I80" s="1079">
        <v>2</v>
      </c>
      <c r="J80" s="33" t="s">
        <v>164</v>
      </c>
      <c r="K80" s="33">
        <v>21</v>
      </c>
      <c r="L80" s="271" t="s">
        <v>576</v>
      </c>
      <c r="M80" s="344"/>
      <c r="N80" s="345"/>
      <c r="O80" s="346"/>
      <c r="P80" s="267">
        <f>SUM(P81:P87)</f>
        <v>28000000</v>
      </c>
      <c r="R80" s="1218"/>
      <c r="S80" s="1218"/>
    </row>
    <row r="81" spans="2:19" ht="12.95" customHeight="1" x14ac:dyDescent="0.2">
      <c r="B81" s="80"/>
      <c r="C81" s="33"/>
      <c r="D81" s="33"/>
      <c r="E81" s="60"/>
      <c r="F81" s="33"/>
      <c r="G81" s="46"/>
      <c r="H81" s="46"/>
      <c r="I81" s="1079"/>
      <c r="J81" s="33"/>
      <c r="K81" s="33"/>
      <c r="L81" s="1595" t="s">
        <v>614</v>
      </c>
      <c r="M81" s="1596">
        <v>2</v>
      </c>
      <c r="N81" s="1597" t="s">
        <v>550</v>
      </c>
      <c r="O81" s="1593">
        <v>8000000</v>
      </c>
      <c r="P81" s="1594">
        <f>O81*M81</f>
        <v>16000000</v>
      </c>
      <c r="R81" s="1218"/>
      <c r="S81" s="1218"/>
    </row>
    <row r="82" spans="2:19" ht="12.95" customHeight="1" x14ac:dyDescent="0.2">
      <c r="B82" s="80"/>
      <c r="C82" s="33"/>
      <c r="D82" s="33"/>
      <c r="E82" s="60"/>
      <c r="F82" s="33"/>
      <c r="G82" s="46"/>
      <c r="H82" s="46"/>
      <c r="I82" s="1079"/>
      <c r="J82" s="33"/>
      <c r="K82" s="33"/>
      <c r="L82" s="1595" t="s">
        <v>501</v>
      </c>
      <c r="M82" s="1596">
        <v>1</v>
      </c>
      <c r="N82" s="1782" t="s">
        <v>116</v>
      </c>
      <c r="O82" s="1593">
        <v>7000000</v>
      </c>
      <c r="P82" s="1594">
        <f>O82*M82</f>
        <v>7000000</v>
      </c>
      <c r="R82" s="1218"/>
      <c r="S82" s="1218"/>
    </row>
    <row r="83" spans="2:19" ht="26.1" customHeight="1" x14ac:dyDescent="0.2">
      <c r="B83" s="80"/>
      <c r="C83" s="33"/>
      <c r="D83" s="33"/>
      <c r="E83" s="60"/>
      <c r="F83" s="33"/>
      <c r="G83" s="46"/>
      <c r="H83" s="46"/>
      <c r="I83" s="1079"/>
      <c r="J83" s="33"/>
      <c r="K83" s="33"/>
      <c r="L83" s="1587" t="s">
        <v>947</v>
      </c>
      <c r="M83" s="1774">
        <v>5</v>
      </c>
      <c r="N83" s="1775" t="s">
        <v>116</v>
      </c>
      <c r="O83" s="1776">
        <v>1000000</v>
      </c>
      <c r="P83" s="1643">
        <f>O83*M83</f>
        <v>5000000</v>
      </c>
      <c r="R83" s="1218"/>
      <c r="S83" s="1218"/>
    </row>
    <row r="84" spans="2:19" ht="12.95" customHeight="1" x14ac:dyDescent="0.2">
      <c r="B84" s="80"/>
      <c r="C84" s="33"/>
      <c r="D84" s="33"/>
      <c r="E84" s="60"/>
      <c r="F84" s="33"/>
      <c r="G84" s="46"/>
      <c r="H84" s="46"/>
      <c r="I84" s="1079"/>
      <c r="J84" s="33"/>
      <c r="K84" s="33"/>
      <c r="L84" s="1595" t="s">
        <v>1008</v>
      </c>
      <c r="M84" s="1774">
        <v>1</v>
      </c>
      <c r="N84" s="1775" t="s">
        <v>116</v>
      </c>
      <c r="O84" s="1776">
        <v>0</v>
      </c>
      <c r="P84" s="1643">
        <f t="shared" ref="P84:P87" si="5">O84*M84</f>
        <v>0</v>
      </c>
      <c r="R84" s="1218"/>
      <c r="S84" s="1218"/>
    </row>
    <row r="85" spans="2:19" ht="12.95" customHeight="1" x14ac:dyDescent="0.2">
      <c r="B85" s="80"/>
      <c r="C85" s="33"/>
      <c r="D85" s="33"/>
      <c r="E85" s="60"/>
      <c r="F85" s="33"/>
      <c r="G85" s="46"/>
      <c r="H85" s="46"/>
      <c r="I85" s="1079"/>
      <c r="J85" s="33"/>
      <c r="K85" s="33"/>
      <c r="L85" s="1595" t="s">
        <v>1009</v>
      </c>
      <c r="M85" s="1774">
        <v>5</v>
      </c>
      <c r="N85" s="1775" t="s">
        <v>116</v>
      </c>
      <c r="O85" s="1776">
        <v>0</v>
      </c>
      <c r="P85" s="1643">
        <f t="shared" si="5"/>
        <v>0</v>
      </c>
      <c r="R85" s="1218"/>
      <c r="S85" s="1218"/>
    </row>
    <row r="86" spans="2:19" ht="12.95" customHeight="1" x14ac:dyDescent="0.2">
      <c r="B86" s="80"/>
      <c r="C86" s="33"/>
      <c r="D86" s="33"/>
      <c r="E86" s="60"/>
      <c r="F86" s="33"/>
      <c r="G86" s="46"/>
      <c r="H86" s="46"/>
      <c r="I86" s="1079"/>
      <c r="J86" s="33"/>
      <c r="K86" s="33"/>
      <c r="L86" s="1587" t="s">
        <v>1010</v>
      </c>
      <c r="M86" s="1774">
        <v>5</v>
      </c>
      <c r="N86" s="1775" t="s">
        <v>116</v>
      </c>
      <c r="O86" s="1776">
        <v>0</v>
      </c>
      <c r="P86" s="1643">
        <f t="shared" si="5"/>
        <v>0</v>
      </c>
      <c r="R86" s="1218"/>
      <c r="S86" s="1218"/>
    </row>
    <row r="87" spans="2:19" ht="26.1" customHeight="1" x14ac:dyDescent="0.2">
      <c r="B87" s="80"/>
      <c r="C87" s="33"/>
      <c r="D87" s="33"/>
      <c r="E87" s="60"/>
      <c r="F87" s="33"/>
      <c r="G87" s="46"/>
      <c r="H87" s="46"/>
      <c r="I87" s="1079"/>
      <c r="J87" s="33"/>
      <c r="K87" s="33"/>
      <c r="L87" s="1587" t="s">
        <v>1011</v>
      </c>
      <c r="M87" s="1774">
        <v>5</v>
      </c>
      <c r="N87" s="1775" t="s">
        <v>1012</v>
      </c>
      <c r="O87" s="1776">
        <v>0</v>
      </c>
      <c r="P87" s="1643">
        <f t="shared" si="5"/>
        <v>0</v>
      </c>
      <c r="R87" s="1218"/>
      <c r="S87" s="1218"/>
    </row>
    <row r="88" spans="2:19" ht="13.5" customHeight="1" x14ac:dyDescent="0.2">
      <c r="B88" s="80"/>
      <c r="C88" s="33"/>
      <c r="D88" s="33"/>
      <c r="E88" s="60"/>
      <c r="F88" s="33"/>
      <c r="G88" s="46"/>
      <c r="H88" s="46"/>
      <c r="I88" s="1079"/>
      <c r="J88" s="33"/>
      <c r="K88" s="33"/>
      <c r="L88" s="342"/>
      <c r="M88" s="347"/>
      <c r="N88" s="349"/>
      <c r="O88" s="350"/>
      <c r="P88" s="267"/>
      <c r="R88" s="1218"/>
      <c r="S88" s="1218"/>
    </row>
    <row r="89" spans="2:19" ht="13.5" customHeight="1" x14ac:dyDescent="0.2">
      <c r="B89" s="80">
        <v>1</v>
      </c>
      <c r="C89" s="33" t="s">
        <v>440</v>
      </c>
      <c r="D89" s="33" t="s">
        <v>142</v>
      </c>
      <c r="E89" s="60">
        <v>15</v>
      </c>
      <c r="F89" s="60" t="s">
        <v>144</v>
      </c>
      <c r="G89" s="46">
        <v>5</v>
      </c>
      <c r="H89" s="46">
        <v>2</v>
      </c>
      <c r="I89" s="1079">
        <v>2</v>
      </c>
      <c r="J89" s="33" t="s">
        <v>164</v>
      </c>
      <c r="K89" s="33">
        <v>27</v>
      </c>
      <c r="L89" s="271" t="s">
        <v>615</v>
      </c>
      <c r="M89" s="344"/>
      <c r="N89" s="345"/>
      <c r="O89" s="346"/>
      <c r="P89" s="267">
        <f>SUM(P90:P90)</f>
        <v>0</v>
      </c>
      <c r="R89" s="1218"/>
      <c r="S89" s="1218"/>
    </row>
    <row r="90" spans="2:19" ht="27.6" customHeight="1" x14ac:dyDescent="0.2">
      <c r="B90" s="80"/>
      <c r="C90" s="33"/>
      <c r="D90" s="33"/>
      <c r="E90" s="60"/>
      <c r="F90" s="67"/>
      <c r="G90" s="46"/>
      <c r="H90" s="46"/>
      <c r="I90" s="1079"/>
      <c r="J90" s="33"/>
      <c r="K90" s="33"/>
      <c r="L90" s="38" t="s">
        <v>616</v>
      </c>
      <c r="M90" s="480">
        <f t="shared" ref="M90" si="6">2*2*3</f>
        <v>12</v>
      </c>
      <c r="N90" s="481" t="s">
        <v>300</v>
      </c>
      <c r="O90" s="482">
        <v>0</v>
      </c>
      <c r="P90" s="483">
        <f t="shared" ref="P90" si="7">O90*M90</f>
        <v>0</v>
      </c>
      <c r="R90" s="1218"/>
      <c r="S90" s="1218"/>
    </row>
    <row r="91" spans="2:19" ht="9" customHeight="1" x14ac:dyDescent="0.2">
      <c r="B91" s="80"/>
      <c r="C91" s="33"/>
      <c r="D91" s="33"/>
      <c r="E91" s="60"/>
      <c r="F91" s="33"/>
      <c r="G91" s="46"/>
      <c r="H91" s="46"/>
      <c r="I91" s="1079"/>
      <c r="J91" s="33"/>
      <c r="K91" s="33"/>
      <c r="L91" s="342"/>
      <c r="M91" s="347"/>
      <c r="N91" s="349"/>
      <c r="O91" s="350"/>
      <c r="P91" s="267"/>
      <c r="R91" s="1218"/>
      <c r="S91" s="1218"/>
    </row>
    <row r="92" spans="2:19" ht="12.95" customHeight="1" x14ac:dyDescent="0.2">
      <c r="B92" s="80">
        <v>1</v>
      </c>
      <c r="C92" s="33" t="s">
        <v>440</v>
      </c>
      <c r="D92" s="33" t="s">
        <v>142</v>
      </c>
      <c r="E92" s="60">
        <v>15</v>
      </c>
      <c r="F92" s="60" t="s">
        <v>144</v>
      </c>
      <c r="G92" s="46">
        <v>5</v>
      </c>
      <c r="H92" s="46">
        <v>2</v>
      </c>
      <c r="I92" s="1079">
        <v>2</v>
      </c>
      <c r="J92" s="33">
        <v>11</v>
      </c>
      <c r="K92" s="33"/>
      <c r="L92" s="479" t="s">
        <v>295</v>
      </c>
      <c r="M92" s="351"/>
      <c r="N92" s="352"/>
      <c r="O92" s="350"/>
      <c r="P92" s="269">
        <f>P93</f>
        <v>0</v>
      </c>
      <c r="R92" s="1218"/>
      <c r="S92" s="1218"/>
    </row>
    <row r="93" spans="2:19" ht="12.95" customHeight="1" x14ac:dyDescent="0.2">
      <c r="B93" s="80">
        <v>1</v>
      </c>
      <c r="C93" s="33" t="s">
        <v>440</v>
      </c>
      <c r="D93" s="33" t="s">
        <v>142</v>
      </c>
      <c r="E93" s="60">
        <v>15</v>
      </c>
      <c r="F93" s="60" t="s">
        <v>144</v>
      </c>
      <c r="G93" s="46">
        <v>5</v>
      </c>
      <c r="H93" s="46">
        <v>2</v>
      </c>
      <c r="I93" s="1079">
        <v>2</v>
      </c>
      <c r="J93" s="33">
        <v>11</v>
      </c>
      <c r="K93" s="33" t="s">
        <v>168</v>
      </c>
      <c r="L93" s="271" t="s">
        <v>296</v>
      </c>
      <c r="M93" s="344"/>
      <c r="N93" s="345"/>
      <c r="O93" s="346"/>
      <c r="P93" s="267">
        <f>SUM(P94:P95)</f>
        <v>0</v>
      </c>
      <c r="R93" s="1218"/>
      <c r="S93" s="1218"/>
    </row>
    <row r="94" spans="2:19" ht="26.45" customHeight="1" x14ac:dyDescent="0.2">
      <c r="B94" s="80"/>
      <c r="C94" s="33"/>
      <c r="D94" s="33"/>
      <c r="E94" s="60"/>
      <c r="F94" s="67"/>
      <c r="G94" s="46"/>
      <c r="H94" s="46"/>
      <c r="I94" s="1079"/>
      <c r="J94" s="33"/>
      <c r="K94" s="33"/>
      <c r="L94" s="60" t="s">
        <v>617</v>
      </c>
      <c r="M94" s="480">
        <f>50*2</f>
        <v>100</v>
      </c>
      <c r="N94" s="481" t="s">
        <v>618</v>
      </c>
      <c r="O94" s="482">
        <v>0</v>
      </c>
      <c r="P94" s="483">
        <f>O94*M94</f>
        <v>0</v>
      </c>
      <c r="R94" s="1218"/>
      <c r="S94" s="1218"/>
    </row>
    <row r="95" spans="2:19" ht="12.95" customHeight="1" x14ac:dyDescent="0.2">
      <c r="B95" s="80"/>
      <c r="C95" s="33"/>
      <c r="D95" s="33"/>
      <c r="E95" s="60"/>
      <c r="F95" s="67"/>
      <c r="G95" s="46"/>
      <c r="H95" s="46"/>
      <c r="I95" s="1079"/>
      <c r="J95" s="33"/>
      <c r="K95" s="33"/>
      <c r="L95" s="60" t="s">
        <v>619</v>
      </c>
      <c r="M95" s="480">
        <f>50*2*2</f>
        <v>200</v>
      </c>
      <c r="N95" s="481" t="s">
        <v>259</v>
      </c>
      <c r="O95" s="482">
        <v>0</v>
      </c>
      <c r="P95" s="483">
        <f>O95*M95</f>
        <v>0</v>
      </c>
      <c r="R95" s="1218"/>
      <c r="S95" s="1218"/>
    </row>
    <row r="96" spans="2:19" ht="9.6" customHeight="1" x14ac:dyDescent="0.2">
      <c r="B96" s="80"/>
      <c r="C96" s="33"/>
      <c r="D96" s="33"/>
      <c r="E96" s="60"/>
      <c r="F96" s="33"/>
      <c r="G96" s="46"/>
      <c r="H96" s="46"/>
      <c r="I96" s="1079"/>
      <c r="J96" s="33"/>
      <c r="K96" s="33"/>
      <c r="L96" s="342"/>
      <c r="M96" s="351"/>
      <c r="N96" s="352"/>
      <c r="O96" s="350"/>
      <c r="P96" s="267"/>
      <c r="R96" s="1218"/>
      <c r="S96" s="1218"/>
    </row>
    <row r="97" spans="2:19" ht="24.95" customHeight="1" x14ac:dyDescent="0.2">
      <c r="B97" s="355">
        <v>1</v>
      </c>
      <c r="C97" s="356" t="s">
        <v>440</v>
      </c>
      <c r="D97" s="356" t="s">
        <v>142</v>
      </c>
      <c r="E97" s="357">
        <v>15</v>
      </c>
      <c r="F97" s="357" t="s">
        <v>144</v>
      </c>
      <c r="G97" s="358">
        <v>5</v>
      </c>
      <c r="H97" s="358">
        <v>2</v>
      </c>
      <c r="I97" s="359">
        <v>2</v>
      </c>
      <c r="J97" s="356">
        <v>17</v>
      </c>
      <c r="K97" s="356"/>
      <c r="L97" s="360" t="s">
        <v>950</v>
      </c>
      <c r="M97" s="351"/>
      <c r="N97" s="352"/>
      <c r="O97" s="350"/>
      <c r="P97" s="364">
        <f>P98</f>
        <v>18000000</v>
      </c>
      <c r="R97" s="1218"/>
      <c r="S97" s="1218"/>
    </row>
    <row r="98" spans="2:19" ht="26.1" customHeight="1" x14ac:dyDescent="0.2">
      <c r="B98" s="80">
        <v>1</v>
      </c>
      <c r="C98" s="33" t="s">
        <v>440</v>
      </c>
      <c r="D98" s="33" t="s">
        <v>142</v>
      </c>
      <c r="E98" s="60">
        <v>15</v>
      </c>
      <c r="F98" s="60" t="s">
        <v>144</v>
      </c>
      <c r="G98" s="46">
        <v>5</v>
      </c>
      <c r="H98" s="46">
        <v>2</v>
      </c>
      <c r="I98" s="1079">
        <v>2</v>
      </c>
      <c r="J98" s="33">
        <v>17</v>
      </c>
      <c r="K98" s="33" t="s">
        <v>142</v>
      </c>
      <c r="L98" s="1318" t="s">
        <v>504</v>
      </c>
      <c r="M98" s="348"/>
      <c r="N98" s="353"/>
      <c r="O98" s="350"/>
      <c r="P98" s="483">
        <f>SUM(P99:P99)</f>
        <v>18000000</v>
      </c>
      <c r="R98" s="1218"/>
      <c r="S98" s="1218"/>
    </row>
    <row r="99" spans="2:19" ht="12.6" customHeight="1" x14ac:dyDescent="0.2">
      <c r="B99" s="80"/>
      <c r="C99" s="33"/>
      <c r="D99" s="33"/>
      <c r="E99" s="60"/>
      <c r="F99" s="33"/>
      <c r="G99" s="46"/>
      <c r="H99" s="46"/>
      <c r="I99" s="1079"/>
      <c r="J99" s="33"/>
      <c r="K99" s="33"/>
      <c r="L99" s="506" t="s">
        <v>505</v>
      </c>
      <c r="M99" s="1316">
        <v>1</v>
      </c>
      <c r="N99" s="509" t="s">
        <v>3</v>
      </c>
      <c r="O99" s="1688">
        <v>18000000</v>
      </c>
      <c r="P99" s="483">
        <f>O99*M99</f>
        <v>18000000</v>
      </c>
      <c r="R99" s="1218"/>
      <c r="S99" s="1218"/>
    </row>
    <row r="100" spans="2:19" ht="12.95" customHeight="1" x14ac:dyDescent="0.2">
      <c r="B100" s="80"/>
      <c r="C100" s="33"/>
      <c r="D100" s="33"/>
      <c r="E100" s="60"/>
      <c r="F100" s="33"/>
      <c r="G100" s="46"/>
      <c r="H100" s="46"/>
      <c r="I100" s="1079"/>
      <c r="J100" s="33"/>
      <c r="K100" s="33"/>
      <c r="L100" s="342"/>
      <c r="M100" s="351"/>
      <c r="N100" s="352"/>
      <c r="O100" s="350"/>
      <c r="P100" s="267"/>
      <c r="R100" s="1218"/>
      <c r="S100" s="1218"/>
    </row>
    <row r="101" spans="2:19" ht="11.45" customHeight="1" x14ac:dyDescent="0.2">
      <c r="B101" s="80">
        <v>1</v>
      </c>
      <c r="C101" s="33" t="s">
        <v>440</v>
      </c>
      <c r="D101" s="33" t="s">
        <v>142</v>
      </c>
      <c r="E101" s="60">
        <v>15</v>
      </c>
      <c r="F101" s="60" t="s">
        <v>144</v>
      </c>
      <c r="G101" s="46">
        <v>5</v>
      </c>
      <c r="H101" s="46">
        <v>2</v>
      </c>
      <c r="I101" s="1079">
        <v>2</v>
      </c>
      <c r="J101" s="33">
        <v>20</v>
      </c>
      <c r="K101" s="33"/>
      <c r="L101" s="25" t="s">
        <v>266</v>
      </c>
      <c r="M101" s="1897"/>
      <c r="N101" s="265"/>
      <c r="O101" s="268"/>
      <c r="P101" s="269">
        <f>P102</f>
        <v>102500000</v>
      </c>
      <c r="R101" s="1218"/>
      <c r="S101" s="1218"/>
    </row>
    <row r="102" spans="2:19" ht="12.95" customHeight="1" x14ac:dyDescent="0.2">
      <c r="B102" s="355">
        <v>1</v>
      </c>
      <c r="C102" s="356" t="s">
        <v>440</v>
      </c>
      <c r="D102" s="356" t="s">
        <v>142</v>
      </c>
      <c r="E102" s="357">
        <v>15</v>
      </c>
      <c r="F102" s="357" t="s">
        <v>144</v>
      </c>
      <c r="G102" s="358">
        <v>5</v>
      </c>
      <c r="H102" s="358">
        <v>2</v>
      </c>
      <c r="I102" s="359">
        <v>2</v>
      </c>
      <c r="J102" s="356">
        <v>20</v>
      </c>
      <c r="K102" s="1315">
        <v>17</v>
      </c>
      <c r="L102" s="1314" t="s">
        <v>551</v>
      </c>
      <c r="M102" s="348"/>
      <c r="N102" s="353"/>
      <c r="O102" s="350"/>
      <c r="P102" s="483">
        <f>SUM(P103:P106)</f>
        <v>102500000</v>
      </c>
      <c r="R102" s="1218"/>
      <c r="S102" s="1218"/>
    </row>
    <row r="103" spans="2:19" ht="12.95" customHeight="1" x14ac:dyDescent="0.2">
      <c r="B103" s="80"/>
      <c r="C103" s="33"/>
      <c r="D103" s="33"/>
      <c r="E103" s="60"/>
      <c r="F103" s="33"/>
      <c r="G103" s="46"/>
      <c r="H103" s="46"/>
      <c r="I103" s="1079"/>
      <c r="J103" s="33"/>
      <c r="K103" s="33"/>
      <c r="L103" s="506" t="s">
        <v>502</v>
      </c>
      <c r="M103" s="1316">
        <v>1</v>
      </c>
      <c r="N103" s="509" t="s">
        <v>3</v>
      </c>
      <c r="O103" s="1317">
        <v>30500000</v>
      </c>
      <c r="P103" s="483">
        <f>O103*M103</f>
        <v>30500000</v>
      </c>
      <c r="R103" s="1218"/>
      <c r="S103" s="1218"/>
    </row>
    <row r="104" spans="2:19" ht="12.95" customHeight="1" x14ac:dyDescent="0.2">
      <c r="B104" s="80"/>
      <c r="C104" s="33"/>
      <c r="D104" s="33"/>
      <c r="E104" s="60"/>
      <c r="F104" s="33"/>
      <c r="G104" s="46"/>
      <c r="H104" s="46"/>
      <c r="I104" s="1079"/>
      <c r="J104" s="33"/>
      <c r="K104" s="33"/>
      <c r="L104" s="506" t="s">
        <v>503</v>
      </c>
      <c r="M104" s="1316">
        <v>1</v>
      </c>
      <c r="N104" s="509" t="s">
        <v>3</v>
      </c>
      <c r="O104" s="1317">
        <v>30000000</v>
      </c>
      <c r="P104" s="483">
        <f>O104*M104</f>
        <v>30000000</v>
      </c>
      <c r="R104" s="1218"/>
      <c r="S104" s="1218"/>
    </row>
    <row r="105" spans="2:19" ht="12.95" customHeight="1" x14ac:dyDescent="0.2">
      <c r="B105" s="80"/>
      <c r="C105" s="33"/>
      <c r="D105" s="33"/>
      <c r="E105" s="60"/>
      <c r="F105" s="33"/>
      <c r="G105" s="46"/>
      <c r="H105" s="46"/>
      <c r="I105" s="1079"/>
      <c r="J105" s="33"/>
      <c r="K105" s="33"/>
      <c r="L105" s="506" t="s">
        <v>620</v>
      </c>
      <c r="M105" s="1316">
        <v>1</v>
      </c>
      <c r="N105" s="509" t="s">
        <v>3</v>
      </c>
      <c r="O105" s="508">
        <v>20000000</v>
      </c>
      <c r="P105" s="267">
        <f>O105*M105</f>
        <v>20000000</v>
      </c>
      <c r="R105" s="1218"/>
      <c r="S105" s="1218"/>
    </row>
    <row r="106" spans="2:19" ht="13.5" customHeight="1" x14ac:dyDescent="0.2">
      <c r="B106" s="80"/>
      <c r="C106" s="33"/>
      <c r="D106" s="33"/>
      <c r="E106" s="60"/>
      <c r="F106" s="33"/>
      <c r="G106" s="46"/>
      <c r="H106" s="46"/>
      <c r="I106" s="1079"/>
      <c r="J106" s="33"/>
      <c r="K106" s="33"/>
      <c r="L106" s="506" t="s">
        <v>949</v>
      </c>
      <c r="M106" s="1316">
        <v>1</v>
      </c>
      <c r="N106" s="509" t="s">
        <v>3</v>
      </c>
      <c r="O106" s="508">
        <v>22000000</v>
      </c>
      <c r="P106" s="267">
        <f>O106*M106</f>
        <v>22000000</v>
      </c>
      <c r="R106" s="1218"/>
      <c r="S106" s="1218"/>
    </row>
    <row r="107" spans="2:19" ht="10.5" customHeight="1" x14ac:dyDescent="0.2">
      <c r="B107" s="80"/>
      <c r="C107" s="33"/>
      <c r="D107" s="33"/>
      <c r="E107" s="60"/>
      <c r="F107" s="33"/>
      <c r="G107" s="46"/>
      <c r="H107" s="46"/>
      <c r="I107" s="1079"/>
      <c r="J107" s="33"/>
      <c r="K107" s="33"/>
      <c r="L107" s="506"/>
      <c r="M107" s="507"/>
      <c r="N107" s="354"/>
      <c r="O107" s="508"/>
      <c r="P107" s="267"/>
      <c r="R107" s="1218"/>
      <c r="S107" s="1218"/>
    </row>
    <row r="108" spans="2:19" ht="12" customHeight="1" x14ac:dyDescent="0.2">
      <c r="B108" s="355">
        <v>1</v>
      </c>
      <c r="C108" s="356" t="s">
        <v>440</v>
      </c>
      <c r="D108" s="356" t="s">
        <v>142</v>
      </c>
      <c r="E108" s="357">
        <v>15</v>
      </c>
      <c r="F108" s="357" t="s">
        <v>144</v>
      </c>
      <c r="G108" s="1589">
        <v>5</v>
      </c>
      <c r="H108" s="1589">
        <v>2</v>
      </c>
      <c r="I108" s="1762">
        <v>2</v>
      </c>
      <c r="J108" s="1762">
        <v>21</v>
      </c>
      <c r="K108" s="1589"/>
      <c r="L108" s="1763" t="s">
        <v>1003</v>
      </c>
      <c r="M108" s="1764"/>
      <c r="N108" s="1605"/>
      <c r="O108" s="1606"/>
      <c r="P108" s="1765">
        <f>P109</f>
        <v>50000000</v>
      </c>
      <c r="R108" s="1218"/>
      <c r="S108" s="1218"/>
    </row>
    <row r="109" spans="2:19" ht="12.95" customHeight="1" x14ac:dyDescent="0.2">
      <c r="B109" s="355">
        <v>1</v>
      </c>
      <c r="C109" s="356" t="s">
        <v>440</v>
      </c>
      <c r="D109" s="356" t="s">
        <v>142</v>
      </c>
      <c r="E109" s="357">
        <v>15</v>
      </c>
      <c r="F109" s="357" t="s">
        <v>144</v>
      </c>
      <c r="G109" s="1589">
        <v>5</v>
      </c>
      <c r="H109" s="1589">
        <v>2</v>
      </c>
      <c r="I109" s="1762">
        <v>2</v>
      </c>
      <c r="J109" s="1766">
        <v>21</v>
      </c>
      <c r="K109" s="1586" t="s">
        <v>145</v>
      </c>
      <c r="L109" s="1767" t="s">
        <v>1004</v>
      </c>
      <c r="M109" s="1764"/>
      <c r="N109" s="1605"/>
      <c r="O109" s="1606"/>
      <c r="P109" s="1594">
        <f>SUM(P110:P110)</f>
        <v>50000000</v>
      </c>
      <c r="R109" s="1218"/>
      <c r="S109" s="1218"/>
    </row>
    <row r="110" spans="2:19" ht="24.95" customHeight="1" x14ac:dyDescent="0.2">
      <c r="B110" s="1744"/>
      <c r="C110" s="1746"/>
      <c r="D110" s="1746"/>
      <c r="E110" s="1746"/>
      <c r="F110" s="1746"/>
      <c r="G110" s="1746"/>
      <c r="H110" s="1746"/>
      <c r="I110" s="1768"/>
      <c r="J110" s="1768"/>
      <c r="K110" s="1745"/>
      <c r="L110" s="1769" t="s">
        <v>1005</v>
      </c>
      <c r="M110" s="1770">
        <v>1</v>
      </c>
      <c r="N110" s="1771" t="s">
        <v>994</v>
      </c>
      <c r="O110" s="1772">
        <v>50000000</v>
      </c>
      <c r="P110" s="1773">
        <f>O110*M110</f>
        <v>50000000</v>
      </c>
      <c r="R110" s="1218"/>
      <c r="S110" s="1218"/>
    </row>
    <row r="111" spans="2:19" ht="9" customHeight="1" x14ac:dyDescent="0.2">
      <c r="B111" s="80"/>
      <c r="C111" s="33"/>
      <c r="D111" s="33"/>
      <c r="E111" s="60"/>
      <c r="F111" s="33"/>
      <c r="G111" s="46"/>
      <c r="H111" s="46"/>
      <c r="I111" s="1079"/>
      <c r="J111" s="33"/>
      <c r="K111" s="33"/>
      <c r="L111" s="506"/>
      <c r="M111" s="1760"/>
      <c r="N111" s="1761"/>
      <c r="O111" s="508"/>
      <c r="P111" s="267"/>
      <c r="R111" s="1218"/>
      <c r="S111" s="1218"/>
    </row>
    <row r="112" spans="2:19" ht="24.95" customHeight="1" x14ac:dyDescent="0.2">
      <c r="B112" s="355">
        <v>1</v>
      </c>
      <c r="C112" s="356" t="s">
        <v>440</v>
      </c>
      <c r="D112" s="356" t="s">
        <v>142</v>
      </c>
      <c r="E112" s="357">
        <v>15</v>
      </c>
      <c r="F112" s="357" t="s">
        <v>144</v>
      </c>
      <c r="G112" s="358">
        <v>5</v>
      </c>
      <c r="H112" s="358">
        <v>2</v>
      </c>
      <c r="I112" s="359">
        <v>2</v>
      </c>
      <c r="J112" s="356">
        <v>22</v>
      </c>
      <c r="K112" s="356"/>
      <c r="L112" s="360" t="s">
        <v>504</v>
      </c>
      <c r="M112" s="1896"/>
      <c r="N112" s="362"/>
      <c r="O112" s="363"/>
      <c r="P112" s="364">
        <f>P113</f>
        <v>10000000</v>
      </c>
      <c r="R112" s="1218"/>
      <c r="S112" s="1218"/>
    </row>
    <row r="113" spans="2:19" ht="25.5" customHeight="1" x14ac:dyDescent="0.2">
      <c r="B113" s="355">
        <v>1</v>
      </c>
      <c r="C113" s="356" t="s">
        <v>440</v>
      </c>
      <c r="D113" s="356" t="s">
        <v>142</v>
      </c>
      <c r="E113" s="357">
        <v>15</v>
      </c>
      <c r="F113" s="357" t="s">
        <v>144</v>
      </c>
      <c r="G113" s="358">
        <v>5</v>
      </c>
      <c r="H113" s="358">
        <v>2</v>
      </c>
      <c r="I113" s="359">
        <v>2</v>
      </c>
      <c r="J113" s="356">
        <v>22</v>
      </c>
      <c r="K113" s="356" t="s">
        <v>142</v>
      </c>
      <c r="L113" s="1318" t="s">
        <v>504</v>
      </c>
      <c r="M113" s="348"/>
      <c r="N113" s="353"/>
      <c r="O113" s="350"/>
      <c r="P113" s="483">
        <f>SUM(P114:P114)</f>
        <v>10000000</v>
      </c>
      <c r="R113" s="1218"/>
      <c r="S113" s="1218"/>
    </row>
    <row r="114" spans="2:19" ht="12.95" customHeight="1" x14ac:dyDescent="0.2">
      <c r="B114" s="80"/>
      <c r="C114" s="33"/>
      <c r="D114" s="33"/>
      <c r="E114" s="60"/>
      <c r="F114" s="33"/>
      <c r="G114" s="46"/>
      <c r="H114" s="46"/>
      <c r="I114" s="1079"/>
      <c r="J114" s="33"/>
      <c r="K114" s="33"/>
      <c r="L114" s="506" t="s">
        <v>505</v>
      </c>
      <c r="M114" s="507">
        <v>1</v>
      </c>
      <c r="N114" s="354" t="s">
        <v>3</v>
      </c>
      <c r="O114" s="508">
        <v>10000000</v>
      </c>
      <c r="P114" s="267">
        <f>O114*M114</f>
        <v>10000000</v>
      </c>
      <c r="R114" s="1218"/>
      <c r="S114" s="1218"/>
    </row>
    <row r="115" spans="2:19" ht="10.5" customHeight="1" x14ac:dyDescent="0.2">
      <c r="B115" s="80"/>
      <c r="C115" s="33"/>
      <c r="D115" s="33"/>
      <c r="E115" s="60"/>
      <c r="F115" s="33"/>
      <c r="G115" s="46"/>
      <c r="H115" s="46"/>
      <c r="I115" s="1079"/>
      <c r="J115" s="33"/>
      <c r="K115" s="33"/>
      <c r="L115" s="365"/>
      <c r="M115" s="348"/>
      <c r="N115" s="353"/>
      <c r="O115" s="366"/>
      <c r="P115" s="267"/>
      <c r="R115" s="1218"/>
      <c r="S115" s="1218"/>
    </row>
    <row r="116" spans="2:19" ht="12.95" customHeight="1" x14ac:dyDescent="0.2">
      <c r="B116" s="80">
        <v>1</v>
      </c>
      <c r="C116" s="33" t="s">
        <v>440</v>
      </c>
      <c r="D116" s="33" t="s">
        <v>142</v>
      </c>
      <c r="E116" s="60">
        <v>15</v>
      </c>
      <c r="F116" s="60" t="s">
        <v>144</v>
      </c>
      <c r="G116" s="46">
        <v>5</v>
      </c>
      <c r="H116" s="46">
        <v>2</v>
      </c>
      <c r="I116" s="1079">
        <v>3</v>
      </c>
      <c r="J116" s="33"/>
      <c r="K116" s="1079"/>
      <c r="L116" s="25" t="s">
        <v>153</v>
      </c>
      <c r="M116" s="1897"/>
      <c r="N116" s="265"/>
      <c r="O116" s="268"/>
      <c r="P116" s="364">
        <f>P117</f>
        <v>1451230842</v>
      </c>
      <c r="R116" s="1218"/>
      <c r="S116" s="1218"/>
    </row>
    <row r="117" spans="2:19" ht="14.1" customHeight="1" x14ac:dyDescent="0.2">
      <c r="B117" s="355">
        <v>1</v>
      </c>
      <c r="C117" s="356" t="s">
        <v>440</v>
      </c>
      <c r="D117" s="356" t="s">
        <v>142</v>
      </c>
      <c r="E117" s="357">
        <v>15</v>
      </c>
      <c r="F117" s="357" t="s">
        <v>144</v>
      </c>
      <c r="G117" s="359">
        <v>5</v>
      </c>
      <c r="H117" s="359">
        <v>2</v>
      </c>
      <c r="I117" s="359">
        <v>3</v>
      </c>
      <c r="J117" s="356">
        <v>12</v>
      </c>
      <c r="K117" s="356"/>
      <c r="L117" s="1899" t="s">
        <v>422</v>
      </c>
      <c r="M117" s="1900"/>
      <c r="N117" s="1901"/>
      <c r="O117" s="1902"/>
      <c r="P117" s="364">
        <f>P118+P127</f>
        <v>1451230842</v>
      </c>
      <c r="R117" s="1218"/>
      <c r="S117" s="1218"/>
    </row>
    <row r="118" spans="2:19" ht="12.95" customHeight="1" x14ac:dyDescent="0.2">
      <c r="B118" s="355">
        <v>1</v>
      </c>
      <c r="C118" s="356" t="s">
        <v>440</v>
      </c>
      <c r="D118" s="356" t="s">
        <v>142</v>
      </c>
      <c r="E118" s="357">
        <v>15</v>
      </c>
      <c r="F118" s="357" t="s">
        <v>144</v>
      </c>
      <c r="G118" s="359">
        <v>5</v>
      </c>
      <c r="H118" s="359">
        <v>2</v>
      </c>
      <c r="I118" s="359">
        <v>3</v>
      </c>
      <c r="J118" s="356">
        <v>12</v>
      </c>
      <c r="K118" s="356" t="s">
        <v>155</v>
      </c>
      <c r="L118" s="1899" t="s">
        <v>1066</v>
      </c>
      <c r="M118" s="1900"/>
      <c r="N118" s="1901"/>
      <c r="O118" s="1902"/>
      <c r="P118" s="364">
        <f>SUM(P119:P125)</f>
        <v>202375000</v>
      </c>
      <c r="R118" s="1218"/>
      <c r="S118" s="1218"/>
    </row>
    <row r="119" spans="2:19" ht="12.95" customHeight="1" x14ac:dyDescent="0.2">
      <c r="B119" s="80"/>
      <c r="C119" s="33"/>
      <c r="D119" s="33"/>
      <c r="E119" s="60"/>
      <c r="F119" s="60"/>
      <c r="G119" s="1079"/>
      <c r="H119" s="1079"/>
      <c r="I119" s="1079"/>
      <c r="J119" s="33"/>
      <c r="K119" s="33"/>
      <c r="L119" s="1964" t="s">
        <v>940</v>
      </c>
      <c r="M119" s="1912">
        <v>2</v>
      </c>
      <c r="N119" s="1963" t="s">
        <v>841</v>
      </c>
      <c r="O119" s="1914">
        <v>79250000</v>
      </c>
      <c r="P119" s="267">
        <f>O119*M119</f>
        <v>158500000</v>
      </c>
      <c r="R119" s="1218"/>
      <c r="S119" s="1218"/>
    </row>
    <row r="120" spans="2:19" ht="12.95" customHeight="1" x14ac:dyDescent="0.2">
      <c r="B120" s="80"/>
      <c r="C120" s="33"/>
      <c r="D120" s="33"/>
      <c r="E120" s="60"/>
      <c r="F120" s="60"/>
      <c r="G120" s="1079"/>
      <c r="H120" s="1079"/>
      <c r="I120" s="1079"/>
      <c r="J120" s="33"/>
      <c r="K120" s="33"/>
      <c r="L120" s="1964" t="s">
        <v>1214</v>
      </c>
      <c r="M120" s="1912">
        <v>4</v>
      </c>
      <c r="N120" s="1963" t="s">
        <v>841</v>
      </c>
      <c r="O120" s="1914">
        <v>2500000</v>
      </c>
      <c r="P120" s="267">
        <f t="shared" ref="P120:P124" si="8">O120*M120</f>
        <v>10000000</v>
      </c>
      <c r="R120" s="1218"/>
      <c r="S120" s="1218"/>
    </row>
    <row r="121" spans="2:19" ht="12.95" customHeight="1" x14ac:dyDescent="0.2">
      <c r="B121" s="80"/>
      <c r="C121" s="33"/>
      <c r="D121" s="33"/>
      <c r="E121" s="60"/>
      <c r="F121" s="60"/>
      <c r="G121" s="1079"/>
      <c r="H121" s="1079"/>
      <c r="I121" s="1079"/>
      <c r="J121" s="33"/>
      <c r="K121" s="33"/>
      <c r="L121" s="1964" t="s">
        <v>1218</v>
      </c>
      <c r="M121" s="1912">
        <v>2</v>
      </c>
      <c r="N121" s="1963" t="s">
        <v>286</v>
      </c>
      <c r="O121" s="1914">
        <v>6750000</v>
      </c>
      <c r="P121" s="267">
        <f t="shared" si="8"/>
        <v>13500000</v>
      </c>
      <c r="R121" s="1218"/>
      <c r="S121" s="1218"/>
    </row>
    <row r="122" spans="2:19" ht="12.95" customHeight="1" x14ac:dyDescent="0.2">
      <c r="B122" s="80"/>
      <c r="C122" s="33"/>
      <c r="D122" s="33"/>
      <c r="E122" s="60"/>
      <c r="F122" s="60"/>
      <c r="G122" s="1079"/>
      <c r="H122" s="1079"/>
      <c r="I122" s="1079"/>
      <c r="J122" s="33"/>
      <c r="K122" s="33"/>
      <c r="L122" s="1964" t="s">
        <v>1215</v>
      </c>
      <c r="M122" s="1912">
        <v>2</v>
      </c>
      <c r="N122" s="1963" t="s">
        <v>286</v>
      </c>
      <c r="O122" s="1914">
        <v>3750000</v>
      </c>
      <c r="P122" s="267">
        <f t="shared" si="8"/>
        <v>7500000</v>
      </c>
      <c r="R122" s="1218"/>
      <c r="S122" s="1218"/>
    </row>
    <row r="123" spans="2:19" ht="12.95" customHeight="1" x14ac:dyDescent="0.2">
      <c r="B123" s="80"/>
      <c r="C123" s="33"/>
      <c r="D123" s="33"/>
      <c r="E123" s="60"/>
      <c r="F123" s="60"/>
      <c r="G123" s="1079"/>
      <c r="H123" s="1079"/>
      <c r="I123" s="1079"/>
      <c r="J123" s="33"/>
      <c r="K123" s="33"/>
      <c r="L123" s="1964" t="s">
        <v>1216</v>
      </c>
      <c r="M123" s="1912">
        <v>2</v>
      </c>
      <c r="N123" s="1963" t="s">
        <v>841</v>
      </c>
      <c r="O123" s="1914">
        <v>1875000</v>
      </c>
      <c r="P123" s="267">
        <f t="shared" si="8"/>
        <v>3750000</v>
      </c>
      <c r="R123" s="1218"/>
      <c r="S123" s="1218"/>
    </row>
    <row r="124" spans="2:19" ht="12.95" customHeight="1" x14ac:dyDescent="0.2">
      <c r="B124" s="80"/>
      <c r="C124" s="33"/>
      <c r="D124" s="33"/>
      <c r="E124" s="60"/>
      <c r="F124" s="60"/>
      <c r="G124" s="1079"/>
      <c r="H124" s="1079"/>
      <c r="I124" s="1079"/>
      <c r="J124" s="33"/>
      <c r="K124" s="33"/>
      <c r="L124" s="1964" t="s">
        <v>1217</v>
      </c>
      <c r="M124" s="1912">
        <v>1</v>
      </c>
      <c r="N124" s="1963" t="s">
        <v>841</v>
      </c>
      <c r="O124" s="1914">
        <v>3750000</v>
      </c>
      <c r="P124" s="267">
        <f t="shared" si="8"/>
        <v>3750000</v>
      </c>
      <c r="R124" s="1218"/>
      <c r="S124" s="1218"/>
    </row>
    <row r="125" spans="2:19" ht="12.95" customHeight="1" x14ac:dyDescent="0.2">
      <c r="B125" s="80"/>
      <c r="C125" s="33"/>
      <c r="D125" s="33"/>
      <c r="E125" s="60"/>
      <c r="F125" s="60"/>
      <c r="G125" s="1079"/>
      <c r="H125" s="1079"/>
      <c r="I125" s="1079"/>
      <c r="J125" s="33"/>
      <c r="K125" s="33"/>
      <c r="L125" s="1964" t="s">
        <v>1122</v>
      </c>
      <c r="M125" s="1912">
        <v>1</v>
      </c>
      <c r="N125" s="1963" t="s">
        <v>841</v>
      </c>
      <c r="O125" s="1914">
        <v>5375000</v>
      </c>
      <c r="P125" s="267">
        <f>O125*M125</f>
        <v>5375000</v>
      </c>
      <c r="R125" s="1218"/>
      <c r="S125" s="1218"/>
    </row>
    <row r="126" spans="2:19" ht="14.1" customHeight="1" x14ac:dyDescent="0.2">
      <c r="B126" s="80"/>
      <c r="C126" s="33"/>
      <c r="D126" s="33"/>
      <c r="E126" s="60"/>
      <c r="F126" s="60"/>
      <c r="G126" s="46"/>
      <c r="H126" s="46"/>
      <c r="I126" s="1079"/>
      <c r="J126" s="33"/>
      <c r="K126" s="1079"/>
      <c r="L126" s="1903"/>
      <c r="M126" s="1904"/>
      <c r="N126" s="1905"/>
      <c r="O126" s="1906"/>
      <c r="P126" s="1907"/>
      <c r="Q126" s="1656"/>
      <c r="R126" s="1218"/>
      <c r="S126" s="1218"/>
    </row>
    <row r="127" spans="2:19" ht="24.95" customHeight="1" x14ac:dyDescent="0.2">
      <c r="B127" s="355">
        <v>1</v>
      </c>
      <c r="C127" s="356" t="s">
        <v>440</v>
      </c>
      <c r="D127" s="356" t="s">
        <v>142</v>
      </c>
      <c r="E127" s="357">
        <v>15</v>
      </c>
      <c r="F127" s="357" t="s">
        <v>144</v>
      </c>
      <c r="G127" s="358">
        <v>5</v>
      </c>
      <c r="H127" s="358">
        <v>2</v>
      </c>
      <c r="I127" s="359">
        <v>3</v>
      </c>
      <c r="J127" s="356">
        <v>12</v>
      </c>
      <c r="K127" s="359">
        <v>10</v>
      </c>
      <c r="L127" s="1685" t="s">
        <v>938</v>
      </c>
      <c r="M127" s="1686"/>
      <c r="N127" s="1143"/>
      <c r="O127" s="1248"/>
      <c r="P127" s="1908">
        <f>P128</f>
        <v>1248855842</v>
      </c>
      <c r="Q127" s="1656"/>
      <c r="R127" s="1218"/>
      <c r="S127" s="1218"/>
    </row>
    <row r="128" spans="2:19" ht="24.95" customHeight="1" x14ac:dyDescent="0.2">
      <c r="B128" s="355"/>
      <c r="C128" s="356"/>
      <c r="D128" s="356"/>
      <c r="E128" s="357"/>
      <c r="F128" s="357"/>
      <c r="G128" s="358"/>
      <c r="H128" s="358"/>
      <c r="I128" s="359"/>
      <c r="J128" s="356"/>
      <c r="K128" s="359"/>
      <c r="L128" s="1918" t="s">
        <v>1069</v>
      </c>
      <c r="M128" s="1915"/>
      <c r="N128" s="1916"/>
      <c r="O128" s="1337"/>
      <c r="P128" s="1917">
        <f>SUM(P129+P134)</f>
        <v>1248855842</v>
      </c>
      <c r="Q128" s="1656"/>
      <c r="R128" s="1218"/>
      <c r="S128" s="1218"/>
    </row>
    <row r="129" spans="2:22" ht="17.100000000000001" customHeight="1" x14ac:dyDescent="0.2">
      <c r="B129" s="80"/>
      <c r="C129" s="33"/>
      <c r="D129" s="33"/>
      <c r="E129" s="60"/>
      <c r="F129" s="60"/>
      <c r="G129" s="46"/>
      <c r="H129" s="46"/>
      <c r="I129" s="1079"/>
      <c r="J129" s="33"/>
      <c r="K129" s="33"/>
      <c r="L129" s="2009" t="s">
        <v>1233</v>
      </c>
      <c r="M129" s="1686"/>
      <c r="N129" s="1143"/>
      <c r="O129" s="2010"/>
      <c r="P129" s="1917">
        <f>SUM(P130:P133)</f>
        <v>600000000</v>
      </c>
      <c r="Q129" s="1656"/>
      <c r="R129" s="1909" t="s">
        <v>1067</v>
      </c>
      <c r="S129" s="1682">
        <v>1</v>
      </c>
      <c r="T129" s="1910" t="s">
        <v>994</v>
      </c>
      <c r="U129" s="1683">
        <v>56350000</v>
      </c>
      <c r="V129" s="1684">
        <f>U129*S129</f>
        <v>56350000</v>
      </c>
    </row>
    <row r="130" spans="2:22" ht="27" customHeight="1" x14ac:dyDescent="0.2">
      <c r="B130" s="84"/>
      <c r="C130" s="69"/>
      <c r="D130" s="69"/>
      <c r="E130" s="1655"/>
      <c r="F130" s="1655"/>
      <c r="G130" s="54"/>
      <c r="H130" s="54"/>
      <c r="I130" s="39"/>
      <c r="J130" s="69"/>
      <c r="K130" s="69"/>
      <c r="L130" s="2011" t="s">
        <v>1242</v>
      </c>
      <c r="M130" s="1912">
        <v>1</v>
      </c>
      <c r="N130" s="1913" t="s">
        <v>994</v>
      </c>
      <c r="O130" s="1914">
        <v>56350000</v>
      </c>
      <c r="P130" s="1684">
        <f>O130*M130</f>
        <v>56350000</v>
      </c>
      <c r="Q130" s="1219"/>
      <c r="R130" s="1911" t="s">
        <v>1068</v>
      </c>
      <c r="S130" s="1912">
        <v>1</v>
      </c>
      <c r="T130" s="1913" t="s">
        <v>994</v>
      </c>
      <c r="U130" s="1914">
        <v>46150000</v>
      </c>
      <c r="V130" s="483">
        <f>U130*S130</f>
        <v>46150000</v>
      </c>
    </row>
    <row r="131" spans="2:22" ht="26.1" customHeight="1" x14ac:dyDescent="0.2">
      <c r="B131" s="84"/>
      <c r="C131" s="69"/>
      <c r="D131" s="69"/>
      <c r="E131" s="1655"/>
      <c r="F131" s="1655"/>
      <c r="G131" s="54"/>
      <c r="H131" s="54"/>
      <c r="I131" s="39"/>
      <c r="J131" s="69"/>
      <c r="K131" s="69"/>
      <c r="L131" s="2012" t="s">
        <v>1241</v>
      </c>
      <c r="M131" s="1912">
        <v>1</v>
      </c>
      <c r="N131" s="1913" t="s">
        <v>994</v>
      </c>
      <c r="O131" s="1914">
        <v>46150000</v>
      </c>
      <c r="P131" s="483">
        <f>O131*M131</f>
        <v>46150000</v>
      </c>
      <c r="Q131" s="1219"/>
      <c r="R131" s="2004"/>
      <c r="S131" s="2005"/>
      <c r="T131" s="2006"/>
      <c r="U131" s="2007"/>
      <c r="V131" s="2008"/>
    </row>
    <row r="132" spans="2:22" ht="15.95" customHeight="1" x14ac:dyDescent="0.2">
      <c r="B132" s="84"/>
      <c r="C132" s="69"/>
      <c r="D132" s="69"/>
      <c r="E132" s="1655"/>
      <c r="F132" s="1655"/>
      <c r="G132" s="54"/>
      <c r="H132" s="54"/>
      <c r="I132" s="39"/>
      <c r="J132" s="69"/>
      <c r="K132" s="69"/>
      <c r="L132" s="2012" t="s">
        <v>1234</v>
      </c>
      <c r="M132" s="1912">
        <v>1</v>
      </c>
      <c r="N132" s="1913" t="s">
        <v>994</v>
      </c>
      <c r="O132" s="1914">
        <v>201030000</v>
      </c>
      <c r="P132" s="483">
        <f>O132*M132</f>
        <v>201030000</v>
      </c>
      <c r="Q132" s="1219"/>
      <c r="R132" s="2004"/>
      <c r="S132" s="2005"/>
      <c r="T132" s="2006"/>
      <c r="U132" s="2007"/>
      <c r="V132" s="2008"/>
    </row>
    <row r="133" spans="2:22" ht="15.95" customHeight="1" x14ac:dyDescent="0.2">
      <c r="B133" s="84"/>
      <c r="C133" s="69"/>
      <c r="D133" s="69"/>
      <c r="E133" s="1655"/>
      <c r="F133" s="1655"/>
      <c r="G133" s="54"/>
      <c r="H133" s="54"/>
      <c r="I133" s="39"/>
      <c r="J133" s="69"/>
      <c r="K133" s="69"/>
      <c r="L133" s="2013" t="s">
        <v>1240</v>
      </c>
      <c r="M133" s="1912">
        <v>1</v>
      </c>
      <c r="N133" s="1913" t="s">
        <v>994</v>
      </c>
      <c r="O133" s="1914">
        <v>296470000</v>
      </c>
      <c r="P133" s="483">
        <f t="shared" ref="P133:P138" si="9">O133*M133</f>
        <v>296470000</v>
      </c>
      <c r="Q133" s="1219"/>
      <c r="R133" s="2004"/>
      <c r="S133" s="2005"/>
      <c r="T133" s="2006"/>
      <c r="U133" s="2007"/>
      <c r="V133" s="2008"/>
    </row>
    <row r="134" spans="2:22" ht="15.95" customHeight="1" x14ac:dyDescent="0.2">
      <c r="B134" s="84"/>
      <c r="C134" s="69"/>
      <c r="D134" s="69"/>
      <c r="E134" s="1655"/>
      <c r="F134" s="1655"/>
      <c r="G134" s="54"/>
      <c r="H134" s="54"/>
      <c r="I134" s="39"/>
      <c r="J134" s="69"/>
      <c r="K134" s="69"/>
      <c r="L134" s="2014" t="s">
        <v>1235</v>
      </c>
      <c r="M134" s="1912"/>
      <c r="N134" s="1913"/>
      <c r="O134" s="1914"/>
      <c r="P134" s="364">
        <f>SUM(P135:P138)</f>
        <v>648855842</v>
      </c>
      <c r="Q134" s="1219"/>
      <c r="R134" s="2004"/>
      <c r="S134" s="2005"/>
      <c r="T134" s="2006"/>
      <c r="U134" s="2007"/>
      <c r="V134" s="2008"/>
    </row>
    <row r="135" spans="2:22" ht="15.95" customHeight="1" x14ac:dyDescent="0.2">
      <c r="B135" s="84"/>
      <c r="C135" s="69"/>
      <c r="D135" s="69"/>
      <c r="E135" s="1655"/>
      <c r="F135" s="1655"/>
      <c r="G135" s="54"/>
      <c r="H135" s="54"/>
      <c r="I135" s="39"/>
      <c r="J135" s="69"/>
      <c r="K135" s="69"/>
      <c r="L135" s="2012" t="s">
        <v>1239</v>
      </c>
      <c r="M135" s="1912">
        <v>1</v>
      </c>
      <c r="N135" s="1913" t="s">
        <v>994</v>
      </c>
      <c r="O135" s="1914">
        <v>145724000</v>
      </c>
      <c r="P135" s="483">
        <f t="shared" si="9"/>
        <v>145724000</v>
      </c>
      <c r="Q135" s="1219"/>
      <c r="R135" s="2004"/>
      <c r="S135" s="2005"/>
      <c r="T135" s="2006"/>
      <c r="U135" s="2007"/>
      <c r="V135" s="2008"/>
    </row>
    <row r="136" spans="2:22" ht="15.95" customHeight="1" x14ac:dyDescent="0.2">
      <c r="B136" s="84"/>
      <c r="C136" s="69"/>
      <c r="D136" s="69"/>
      <c r="E136" s="1655"/>
      <c r="F136" s="1655"/>
      <c r="G136" s="54"/>
      <c r="H136" s="54"/>
      <c r="I136" s="39"/>
      <c r="J136" s="69"/>
      <c r="K136" s="69"/>
      <c r="L136" s="2012" t="s">
        <v>1238</v>
      </c>
      <c r="M136" s="1912">
        <v>1</v>
      </c>
      <c r="N136" s="1913" t="s">
        <v>994</v>
      </c>
      <c r="O136" s="1914">
        <v>96040000</v>
      </c>
      <c r="P136" s="483">
        <f t="shared" si="9"/>
        <v>96040000</v>
      </c>
      <c r="Q136" s="1219"/>
      <c r="R136" s="2004"/>
      <c r="S136" s="2005"/>
      <c r="T136" s="2006"/>
      <c r="U136" s="2007"/>
      <c r="V136" s="2008"/>
    </row>
    <row r="137" spans="2:22" ht="26.1" customHeight="1" x14ac:dyDescent="0.2">
      <c r="B137" s="84"/>
      <c r="C137" s="69"/>
      <c r="D137" s="69"/>
      <c r="E137" s="1655"/>
      <c r="F137" s="1655"/>
      <c r="G137" s="54"/>
      <c r="H137" s="54"/>
      <c r="I137" s="39"/>
      <c r="J137" s="69"/>
      <c r="K137" s="69"/>
      <c r="L137" s="2012" t="s">
        <v>1237</v>
      </c>
      <c r="M137" s="2015">
        <v>1</v>
      </c>
      <c r="N137" s="2016" t="s">
        <v>994</v>
      </c>
      <c r="O137" s="1914">
        <v>310368842</v>
      </c>
      <c r="P137" s="2017">
        <f t="shared" si="9"/>
        <v>310368842</v>
      </c>
      <c r="Q137" s="1219"/>
      <c r="R137" s="2004"/>
      <c r="S137" s="2005"/>
      <c r="T137" s="2006"/>
      <c r="U137" s="2007"/>
      <c r="V137" s="2008"/>
    </row>
    <row r="138" spans="2:22" ht="27" customHeight="1" x14ac:dyDescent="0.2">
      <c r="B138" s="84"/>
      <c r="C138" s="69"/>
      <c r="D138" s="69"/>
      <c r="E138" s="1655"/>
      <c r="F138" s="1655"/>
      <c r="G138" s="54"/>
      <c r="H138" s="54"/>
      <c r="I138" s="39"/>
      <c r="J138" s="69"/>
      <c r="K138" s="69"/>
      <c r="L138" s="357" t="s">
        <v>1236</v>
      </c>
      <c r="M138" s="2015">
        <v>1</v>
      </c>
      <c r="N138" s="2016" t="s">
        <v>994</v>
      </c>
      <c r="O138" s="2018">
        <v>96723000</v>
      </c>
      <c r="P138" s="2017">
        <f t="shared" si="9"/>
        <v>96723000</v>
      </c>
      <c r="Q138" s="1219"/>
      <c r="R138" s="2004"/>
      <c r="S138" s="2005"/>
      <c r="T138" s="2006"/>
      <c r="U138" s="2007"/>
      <c r="V138" s="2008"/>
    </row>
    <row r="139" spans="2:22" ht="12.95" customHeight="1" thickBot="1" x14ac:dyDescent="0.25">
      <c r="B139" s="203"/>
      <c r="C139" s="204"/>
      <c r="D139" s="204"/>
      <c r="E139" s="205"/>
      <c r="F139" s="205"/>
      <c r="G139" s="206"/>
      <c r="H139" s="206"/>
      <c r="I139" s="207"/>
      <c r="J139" s="204"/>
      <c r="K139" s="204"/>
      <c r="L139" s="368"/>
      <c r="M139" s="369"/>
      <c r="N139" s="369"/>
      <c r="O139" s="370"/>
      <c r="P139" s="1657"/>
    </row>
    <row r="140" spans="2:22" ht="12.95" customHeight="1" thickBot="1" x14ac:dyDescent="0.25">
      <c r="B140" s="110"/>
      <c r="C140" s="107"/>
      <c r="D140" s="107"/>
      <c r="E140" s="107"/>
      <c r="F140" s="107"/>
      <c r="G140" s="107"/>
      <c r="H140" s="107"/>
      <c r="I140" s="107"/>
      <c r="J140" s="107"/>
      <c r="K140" s="107"/>
      <c r="L140" s="107"/>
      <c r="M140" s="2620" t="s">
        <v>199</v>
      </c>
      <c r="N140" s="2620"/>
      <c r="O140" s="2621"/>
      <c r="P140" s="273">
        <f>P29</f>
        <v>1966746442</v>
      </c>
    </row>
    <row r="141" spans="2:22" ht="12.95" customHeight="1" thickTop="1" x14ac:dyDescent="0.2">
      <c r="B141" s="1319"/>
      <c r="C141" s="735"/>
      <c r="D141" s="735"/>
      <c r="E141" s="735"/>
      <c r="F141" s="735"/>
      <c r="G141" s="735"/>
      <c r="H141" s="735"/>
      <c r="I141" s="735"/>
      <c r="J141" s="735"/>
      <c r="K141" s="735"/>
      <c r="L141" s="735"/>
      <c r="M141" s="735"/>
      <c r="N141" s="735"/>
      <c r="O141" s="735"/>
      <c r="P141" s="1320"/>
    </row>
    <row r="142" spans="2:22" ht="12.95" customHeight="1" x14ac:dyDescent="0.2">
      <c r="B142" s="170"/>
      <c r="C142" s="131"/>
      <c r="D142" s="131"/>
      <c r="E142" s="131"/>
      <c r="F142" s="131"/>
      <c r="G142" s="131"/>
      <c r="H142" s="131"/>
      <c r="I142" s="131"/>
      <c r="J142" s="131"/>
      <c r="K142" s="131"/>
      <c r="L142" s="144"/>
      <c r="M142" s="2506" t="str">
        <f>'SMART UU40&amp;BINTEK'!M103:P103</f>
        <v>Banda Aceh,                   2020</v>
      </c>
      <c r="N142" s="2506"/>
      <c r="O142" s="2506"/>
      <c r="P142" s="2507"/>
    </row>
    <row r="143" spans="2:22" ht="12.95" customHeight="1" x14ac:dyDescent="0.2">
      <c r="B143" s="170"/>
      <c r="C143" s="131"/>
      <c r="D143" s="131"/>
      <c r="E143" s="131"/>
      <c r="F143" s="131"/>
      <c r="G143" s="131"/>
      <c r="H143" s="131"/>
      <c r="I143" s="131"/>
      <c r="J143" s="131"/>
      <c r="K143" s="131"/>
      <c r="L143" s="131"/>
      <c r="M143" s="2449" t="str">
        <f>'SMART UU40&amp;BINTEK'!M104:P104</f>
        <v>Pengguna Anggaran</v>
      </c>
      <c r="N143" s="2449"/>
      <c r="O143" s="2449"/>
      <c r="P143" s="2600"/>
    </row>
    <row r="144" spans="2:22" ht="12.95" customHeight="1" x14ac:dyDescent="0.2">
      <c r="B144" s="170"/>
      <c r="C144" s="131"/>
      <c r="D144" s="131"/>
      <c r="E144" s="131"/>
      <c r="F144" s="131"/>
      <c r="G144" s="131"/>
      <c r="H144" s="131"/>
      <c r="I144" s="131"/>
      <c r="J144" s="131"/>
      <c r="K144" s="131"/>
      <c r="L144" s="131"/>
      <c r="M144" s="2449" t="str">
        <f>'SMART UU40&amp;BINTEK'!M105:P105</f>
        <v>Satuan Kerja Perangkat Daerah</v>
      </c>
      <c r="N144" s="2449"/>
      <c r="O144" s="2449"/>
      <c r="P144" s="2600"/>
    </row>
    <row r="145" spans="2:16" ht="12.95" customHeight="1" x14ac:dyDescent="0.2">
      <c r="B145" s="170"/>
      <c r="C145" s="131"/>
      <c r="D145" s="131"/>
      <c r="E145" s="131"/>
      <c r="F145" s="131"/>
      <c r="G145" s="131"/>
      <c r="H145" s="131"/>
      <c r="I145" s="131"/>
      <c r="J145" s="131"/>
      <c r="K145" s="131"/>
      <c r="L145" s="1921"/>
      <c r="M145" s="1922"/>
      <c r="N145" s="2739"/>
      <c r="O145" s="2739"/>
      <c r="P145" s="2740"/>
    </row>
    <row r="146" spans="2:16" ht="12.95" customHeight="1" x14ac:dyDescent="0.2">
      <c r="B146" s="170"/>
      <c r="C146" s="131"/>
      <c r="D146" s="131"/>
      <c r="E146" s="131"/>
      <c r="F146" s="131"/>
      <c r="G146" s="131"/>
      <c r="H146" s="131"/>
      <c r="I146" s="131"/>
      <c r="J146" s="131"/>
      <c r="K146" s="131"/>
      <c r="L146" s="1221"/>
      <c r="M146" s="1922"/>
      <c r="N146" s="2739"/>
      <c r="O146" s="2739"/>
      <c r="P146" s="2740"/>
    </row>
    <row r="147" spans="2:16" ht="12.95" customHeight="1" x14ac:dyDescent="0.2">
      <c r="B147" s="170"/>
      <c r="C147" s="131"/>
      <c r="D147" s="131"/>
      <c r="E147" s="131"/>
      <c r="F147" s="131"/>
      <c r="G147" s="131"/>
      <c r="H147" s="131"/>
      <c r="I147" s="131"/>
      <c r="J147" s="131"/>
      <c r="K147" s="131"/>
      <c r="L147" s="22"/>
      <c r="M147" s="2199" t="str">
        <f>'SMART UU40&amp;BINTEK'!M108:P108</f>
        <v>Bustami, SH</v>
      </c>
      <c r="N147" s="2199"/>
      <c r="O147" s="2199"/>
      <c r="P147" s="2200"/>
    </row>
    <row r="148" spans="2:16" ht="12.95" customHeight="1" x14ac:dyDescent="0.2">
      <c r="B148" s="170"/>
      <c r="C148" s="131"/>
      <c r="D148" s="131"/>
      <c r="E148" s="131"/>
      <c r="F148" s="131"/>
      <c r="G148" s="131"/>
      <c r="H148" s="131"/>
      <c r="I148" s="131"/>
      <c r="J148" s="131"/>
      <c r="K148" s="131"/>
      <c r="L148" s="22"/>
      <c r="M148" s="2573" t="str">
        <f>'RECAP APBD'!E49</f>
        <v>Pembina Utama Muda / Nip. 19630824 198703 1 004</v>
      </c>
      <c r="N148" s="2573"/>
      <c r="O148" s="2573"/>
      <c r="P148" s="2574"/>
    </row>
    <row r="149" spans="2:16" ht="12.95" customHeight="1" x14ac:dyDescent="0.2">
      <c r="B149" s="2501" t="s">
        <v>140</v>
      </c>
      <c r="C149" s="2502"/>
      <c r="D149" s="2502"/>
      <c r="E149" s="2502"/>
      <c r="F149" s="2502"/>
      <c r="G149" s="2502"/>
      <c r="H149" s="2502"/>
      <c r="I149" s="2502"/>
      <c r="J149" s="2502"/>
      <c r="K149" s="2502"/>
      <c r="L149" s="2502"/>
      <c r="M149" s="2513"/>
      <c r="N149" s="2513"/>
      <c r="O149" s="2513"/>
      <c r="P149" s="2514"/>
    </row>
    <row r="150" spans="2:16" ht="12.95" customHeight="1" x14ac:dyDescent="0.2">
      <c r="B150" s="2501" t="s">
        <v>22</v>
      </c>
      <c r="C150" s="2502"/>
      <c r="D150" s="2502"/>
      <c r="E150" s="2502"/>
      <c r="F150" s="2502"/>
      <c r="G150" s="2502"/>
      <c r="H150" s="2502"/>
      <c r="I150" s="2502"/>
      <c r="J150" s="2502"/>
      <c r="K150" s="2502"/>
      <c r="L150" s="2502"/>
      <c r="M150" s="251"/>
      <c r="N150" s="2508"/>
      <c r="O150" s="2508"/>
      <c r="P150" s="2509"/>
    </row>
    <row r="151" spans="2:16" ht="12.95" customHeight="1" x14ac:dyDescent="0.2">
      <c r="B151" s="2501" t="s">
        <v>21</v>
      </c>
      <c r="C151" s="2502"/>
      <c r="D151" s="2502"/>
      <c r="E151" s="2502"/>
      <c r="F151" s="2502"/>
      <c r="G151" s="2502"/>
      <c r="H151" s="2502"/>
      <c r="I151" s="2502"/>
      <c r="J151" s="2502"/>
      <c r="K151" s="2502"/>
      <c r="L151" s="2502"/>
      <c r="M151" s="251"/>
      <c r="N151" s="2503"/>
      <c r="O151" s="2503"/>
      <c r="P151" s="2504"/>
    </row>
    <row r="152" spans="2:16" ht="12.95" customHeight="1" x14ac:dyDescent="0.2">
      <c r="B152" s="2501" t="s">
        <v>204</v>
      </c>
      <c r="C152" s="2502"/>
      <c r="D152" s="2502"/>
      <c r="E152" s="2502"/>
      <c r="F152" s="2502"/>
      <c r="G152" s="2502"/>
      <c r="H152" s="2502"/>
      <c r="I152" s="2502"/>
      <c r="J152" s="2502"/>
      <c r="K152" s="2502"/>
      <c r="L152" s="2502"/>
      <c r="M152" s="2502"/>
      <c r="N152" s="2502"/>
      <c r="O152" s="2502"/>
      <c r="P152" s="2505"/>
    </row>
    <row r="153" spans="2:16" ht="12.95" customHeight="1" x14ac:dyDescent="0.2">
      <c r="B153" s="2501" t="s">
        <v>205</v>
      </c>
      <c r="C153" s="2502"/>
      <c r="D153" s="2502"/>
      <c r="E153" s="2502"/>
      <c r="F153" s="2502"/>
      <c r="G153" s="2502"/>
      <c r="H153" s="2502"/>
      <c r="I153" s="2502"/>
      <c r="J153" s="2502"/>
      <c r="K153" s="2502"/>
      <c r="L153" s="2502"/>
      <c r="M153" s="2502"/>
      <c r="N153" s="2502"/>
      <c r="O153" s="2502"/>
      <c r="P153" s="2505"/>
    </row>
    <row r="154" spans="2:16" ht="12.95" customHeight="1" thickBot="1" x14ac:dyDescent="0.25">
      <c r="B154" s="2517" t="s">
        <v>206</v>
      </c>
      <c r="C154" s="2518"/>
      <c r="D154" s="2518"/>
      <c r="E154" s="2518"/>
      <c r="F154" s="2518"/>
      <c r="G154" s="2518"/>
      <c r="H154" s="2518"/>
      <c r="I154" s="2518"/>
      <c r="J154" s="2518"/>
      <c r="K154" s="2518"/>
      <c r="L154" s="2518"/>
      <c r="M154" s="2518"/>
      <c r="N154" s="2518"/>
      <c r="O154" s="2518"/>
      <c r="P154" s="2519"/>
    </row>
    <row r="155" spans="2:16" ht="12.95" customHeight="1" thickTop="1" x14ac:dyDescent="0.2">
      <c r="B155" s="2523" t="s">
        <v>25</v>
      </c>
      <c r="C155" s="2524"/>
      <c r="D155" s="2524"/>
      <c r="E155" s="2524"/>
      <c r="F155" s="2524"/>
      <c r="G155" s="2524"/>
      <c r="H155" s="2524"/>
      <c r="I155" s="2524"/>
      <c r="J155" s="2524"/>
      <c r="K155" s="2524"/>
      <c r="L155" s="2524"/>
      <c r="M155" s="2524"/>
      <c r="N155" s="2524"/>
      <c r="O155" s="2524"/>
      <c r="P155" s="2525"/>
    </row>
    <row r="156" spans="2:16" ht="12.95" customHeight="1" thickBot="1" x14ac:dyDescent="0.25">
      <c r="B156" s="2526" t="s">
        <v>207</v>
      </c>
      <c r="C156" s="2527"/>
      <c r="D156" s="2528" t="s">
        <v>208</v>
      </c>
      <c r="E156" s="2529"/>
      <c r="F156" s="2529"/>
      <c r="G156" s="2529"/>
      <c r="H156" s="2529"/>
      <c r="I156" s="2529"/>
      <c r="J156" s="2529"/>
      <c r="K156" s="2529"/>
      <c r="L156" s="2530"/>
      <c r="M156" s="2531" t="s">
        <v>209</v>
      </c>
      <c r="N156" s="2530"/>
      <c r="O156" s="4" t="s">
        <v>210</v>
      </c>
      <c r="P156" s="92" t="s">
        <v>211</v>
      </c>
    </row>
    <row r="157" spans="2:16" ht="12.95" customHeight="1" thickTop="1" x14ac:dyDescent="0.2">
      <c r="B157" s="2535">
        <v>1</v>
      </c>
      <c r="C157" s="2536"/>
      <c r="D157" s="2532"/>
      <c r="E157" s="2533"/>
      <c r="F157" s="2533"/>
      <c r="G157" s="2533"/>
      <c r="H157" s="2533"/>
      <c r="I157" s="2533"/>
      <c r="J157" s="2533"/>
      <c r="K157" s="2533"/>
      <c r="L157" s="2534"/>
      <c r="M157" s="2538"/>
      <c r="N157" s="2539"/>
      <c r="O157" s="1073"/>
      <c r="P157" s="1177" t="s">
        <v>10</v>
      </c>
    </row>
    <row r="158" spans="2:16" ht="12.95" customHeight="1" x14ac:dyDescent="0.2">
      <c r="B158" s="2522">
        <v>2</v>
      </c>
      <c r="C158" s="2240"/>
      <c r="D158" s="1116"/>
      <c r="E158" s="1117"/>
      <c r="F158" s="1117"/>
      <c r="G158" s="1117"/>
      <c r="H158" s="1117"/>
      <c r="I158" s="1117"/>
      <c r="J158" s="1117"/>
      <c r="K158" s="1117"/>
      <c r="L158" s="1118"/>
      <c r="M158" s="2442"/>
      <c r="N158" s="2247"/>
      <c r="O158" s="1085"/>
      <c r="P158" s="1177" t="s">
        <v>11</v>
      </c>
    </row>
    <row r="159" spans="2:16" ht="12.95" customHeight="1" x14ac:dyDescent="0.2">
      <c r="B159" s="2522">
        <v>3</v>
      </c>
      <c r="C159" s="2240"/>
      <c r="D159" s="1116"/>
      <c r="E159" s="1117"/>
      <c r="F159" s="1117"/>
      <c r="G159" s="1117"/>
      <c r="H159" s="1117"/>
      <c r="I159" s="1117"/>
      <c r="J159" s="1117"/>
      <c r="K159" s="1117"/>
      <c r="L159" s="1118"/>
      <c r="M159" s="2442"/>
      <c r="N159" s="2247"/>
      <c r="O159" s="1085"/>
      <c r="P159" s="1177" t="s">
        <v>12</v>
      </c>
    </row>
    <row r="160" spans="2:16" ht="12.95" customHeight="1" x14ac:dyDescent="0.2">
      <c r="B160" s="2522">
        <v>4</v>
      </c>
      <c r="C160" s="2240"/>
      <c r="D160" s="1116"/>
      <c r="E160" s="1117"/>
      <c r="F160" s="1117"/>
      <c r="G160" s="1117"/>
      <c r="H160" s="1117"/>
      <c r="I160" s="1117"/>
      <c r="J160" s="1117"/>
      <c r="K160" s="1117"/>
      <c r="L160" s="1118"/>
      <c r="M160" s="2443"/>
      <c r="N160" s="2253"/>
      <c r="O160" s="1085"/>
      <c r="P160" s="1177" t="s">
        <v>13</v>
      </c>
    </row>
    <row r="161" spans="2:16" ht="12.95" customHeight="1" x14ac:dyDescent="0.2">
      <c r="B161" s="2522">
        <v>5</v>
      </c>
      <c r="C161" s="2240"/>
      <c r="D161" s="1116"/>
      <c r="E161" s="1117"/>
      <c r="F161" s="1117"/>
      <c r="G161" s="1117"/>
      <c r="H161" s="1117"/>
      <c r="I161" s="1117"/>
      <c r="J161" s="1117"/>
      <c r="K161" s="1117"/>
      <c r="L161" s="1118"/>
      <c r="M161" s="2443"/>
      <c r="N161" s="2253"/>
      <c r="O161" s="1085"/>
      <c r="P161" s="1177" t="s">
        <v>14</v>
      </c>
    </row>
    <row r="162" spans="2:16" ht="12.95" customHeight="1" x14ac:dyDescent="0.2">
      <c r="B162" s="2522">
        <v>6</v>
      </c>
      <c r="C162" s="2240"/>
      <c r="D162" s="1116"/>
      <c r="E162" s="1117"/>
      <c r="F162" s="1117"/>
      <c r="G162" s="1117"/>
      <c r="H162" s="1117"/>
      <c r="I162" s="1117"/>
      <c r="J162" s="1117"/>
      <c r="K162" s="1117"/>
      <c r="L162" s="1118"/>
      <c r="M162" s="2443"/>
      <c r="N162" s="2253"/>
      <c r="O162" s="1085"/>
      <c r="P162" s="1178" t="s">
        <v>42</v>
      </c>
    </row>
    <row r="163" spans="2:16" ht="12.95" customHeight="1" thickBot="1" x14ac:dyDescent="0.25">
      <c r="B163" s="2520">
        <v>7</v>
      </c>
      <c r="C163" s="2521"/>
      <c r="D163" s="1119"/>
      <c r="E163" s="1120"/>
      <c r="F163" s="1120"/>
      <c r="G163" s="1120"/>
      <c r="H163" s="1120"/>
      <c r="I163" s="1120"/>
      <c r="J163" s="1120"/>
      <c r="K163" s="1120"/>
      <c r="L163" s="1121"/>
      <c r="M163" s="2537"/>
      <c r="N163" s="2300"/>
      <c r="O163" s="1061"/>
      <c r="P163" s="1179" t="s">
        <v>487</v>
      </c>
    </row>
    <row r="164" spans="2:16" ht="13.5" thickTop="1" x14ac:dyDescent="0.2">
      <c r="B164" s="730"/>
      <c r="C164" s="730"/>
      <c r="D164" s="730"/>
      <c r="E164" s="730"/>
      <c r="F164" s="730"/>
      <c r="G164" s="730"/>
      <c r="H164" s="730"/>
      <c r="I164" s="730"/>
      <c r="J164" s="730"/>
      <c r="K164" s="730"/>
      <c r="L164" s="730"/>
      <c r="M164" s="1058"/>
      <c r="N164" s="1058"/>
      <c r="O164" s="730"/>
      <c r="P164" s="730"/>
    </row>
    <row r="165" spans="2:16" x14ac:dyDescent="0.2">
      <c r="B165" s="730"/>
      <c r="C165" s="730"/>
      <c r="D165" s="730"/>
      <c r="E165" s="730"/>
      <c r="F165" s="730"/>
      <c r="G165" s="730"/>
      <c r="H165" s="730"/>
      <c r="I165" s="730"/>
      <c r="J165" s="730"/>
      <c r="K165" s="730"/>
      <c r="L165" s="730"/>
      <c r="M165" s="1058"/>
      <c r="N165" s="1058"/>
      <c r="O165" s="730"/>
      <c r="P165" s="730"/>
    </row>
    <row r="166" spans="2:16" x14ac:dyDescent="0.2">
      <c r="B166" s="730"/>
      <c r="C166" s="730"/>
      <c r="D166" s="730"/>
      <c r="E166" s="730"/>
      <c r="F166" s="730"/>
      <c r="G166" s="730"/>
      <c r="H166" s="730"/>
      <c r="I166" s="730"/>
      <c r="J166" s="730"/>
      <c r="K166" s="730"/>
      <c r="L166" s="730"/>
      <c r="M166" s="1058"/>
      <c r="N166" s="1058"/>
      <c r="O166" s="730"/>
      <c r="P166" s="730"/>
    </row>
    <row r="167" spans="2:16" x14ac:dyDescent="0.2">
      <c r="B167" s="730"/>
      <c r="C167" s="730"/>
      <c r="D167" s="730"/>
      <c r="E167" s="730"/>
      <c r="F167" s="730"/>
      <c r="G167" s="730"/>
      <c r="H167" s="730"/>
      <c r="I167" s="730"/>
      <c r="J167" s="730"/>
      <c r="K167" s="730"/>
      <c r="L167" s="730"/>
      <c r="M167" s="1058"/>
      <c r="N167" s="1058"/>
      <c r="O167" s="730"/>
      <c r="P167" s="730"/>
    </row>
    <row r="168" spans="2:16" x14ac:dyDescent="0.2">
      <c r="B168" s="730"/>
      <c r="C168" s="730"/>
      <c r="D168" s="730"/>
      <c r="E168" s="730"/>
      <c r="F168" s="730"/>
      <c r="G168" s="730"/>
      <c r="H168" s="730"/>
      <c r="I168" s="730"/>
      <c r="J168" s="730"/>
      <c r="K168" s="730"/>
      <c r="L168" s="730"/>
      <c r="M168" s="1058"/>
      <c r="N168" s="1058"/>
      <c r="O168" s="730"/>
      <c r="P168" s="730"/>
    </row>
    <row r="169" spans="2:16" x14ac:dyDescent="0.2">
      <c r="B169" s="730"/>
      <c r="C169" s="730"/>
      <c r="D169" s="730"/>
      <c r="E169" s="730"/>
      <c r="F169" s="730"/>
      <c r="G169" s="730"/>
      <c r="H169" s="730"/>
      <c r="I169" s="730"/>
      <c r="J169" s="730"/>
      <c r="K169" s="730"/>
      <c r="L169" s="730"/>
      <c r="M169" s="1058"/>
      <c r="N169" s="1058"/>
      <c r="O169" s="730"/>
      <c r="P169" s="730"/>
    </row>
    <row r="170" spans="2:16" x14ac:dyDescent="0.2">
      <c r="B170" s="730"/>
      <c r="C170" s="730"/>
      <c r="D170" s="730"/>
      <c r="E170" s="730"/>
      <c r="F170" s="730"/>
      <c r="G170" s="730"/>
      <c r="H170" s="730"/>
      <c r="I170" s="730"/>
      <c r="J170" s="730"/>
      <c r="K170" s="730"/>
      <c r="L170" s="730"/>
      <c r="M170" s="1058"/>
      <c r="N170" s="1058"/>
      <c r="O170" s="730"/>
      <c r="P170" s="730"/>
    </row>
    <row r="171" spans="2:16" x14ac:dyDescent="0.2">
      <c r="B171" s="730"/>
      <c r="C171" s="730"/>
      <c r="D171" s="730"/>
      <c r="E171" s="730"/>
      <c r="F171" s="730"/>
      <c r="G171" s="730"/>
      <c r="H171" s="730"/>
      <c r="I171" s="730"/>
      <c r="J171" s="730"/>
      <c r="K171" s="730"/>
      <c r="L171" s="730"/>
      <c r="M171" s="1058"/>
      <c r="N171" s="1058"/>
      <c r="O171" s="730"/>
      <c r="P171" s="730"/>
    </row>
    <row r="172" spans="2:16" x14ac:dyDescent="0.2">
      <c r="B172" s="730"/>
      <c r="C172" s="730"/>
      <c r="D172" s="730"/>
      <c r="E172" s="730"/>
      <c r="F172" s="730"/>
      <c r="G172" s="730"/>
      <c r="H172" s="730"/>
      <c r="I172" s="730"/>
      <c r="J172" s="730"/>
      <c r="K172" s="730"/>
      <c r="L172" s="730"/>
      <c r="M172" s="1058"/>
      <c r="N172" s="1058"/>
      <c r="O172" s="730"/>
      <c r="P172" s="730"/>
    </row>
    <row r="173" spans="2:16" x14ac:dyDescent="0.2">
      <c r="B173" s="730"/>
      <c r="C173" s="730"/>
      <c r="D173" s="730"/>
      <c r="E173" s="730"/>
      <c r="F173" s="730"/>
      <c r="G173" s="730"/>
      <c r="H173" s="730"/>
      <c r="I173" s="730"/>
      <c r="J173" s="730"/>
      <c r="K173" s="730"/>
      <c r="L173" s="730"/>
      <c r="M173" s="1058"/>
      <c r="N173" s="1058"/>
      <c r="O173" s="730"/>
      <c r="P173" s="730"/>
    </row>
    <row r="174" spans="2:16" x14ac:dyDescent="0.2">
      <c r="B174" s="730"/>
      <c r="C174" s="730"/>
      <c r="D174" s="730"/>
      <c r="E174" s="730"/>
      <c r="F174" s="730"/>
      <c r="G174" s="730"/>
      <c r="H174" s="730"/>
      <c r="I174" s="730"/>
      <c r="J174" s="730"/>
      <c r="K174" s="730"/>
      <c r="L174" s="730"/>
      <c r="M174" s="1058"/>
      <c r="N174" s="1058"/>
      <c r="O174" s="730"/>
      <c r="P174" s="730"/>
    </row>
    <row r="175" spans="2:16" x14ac:dyDescent="0.2">
      <c r="B175" s="730"/>
      <c r="C175" s="730"/>
      <c r="D175" s="730"/>
      <c r="E175" s="730"/>
      <c r="F175" s="730"/>
      <c r="G175" s="730"/>
      <c r="H175" s="730"/>
      <c r="I175" s="730"/>
      <c r="J175" s="730"/>
      <c r="K175" s="730"/>
      <c r="L175" s="730"/>
      <c r="M175" s="1058"/>
      <c r="N175" s="1058"/>
      <c r="O175" s="730"/>
      <c r="P175" s="730"/>
    </row>
    <row r="176" spans="2:16" x14ac:dyDescent="0.2">
      <c r="B176" s="730"/>
      <c r="C176" s="730"/>
      <c r="D176" s="730"/>
      <c r="E176" s="730"/>
      <c r="F176" s="730"/>
      <c r="G176" s="730"/>
      <c r="H176" s="730"/>
      <c r="I176" s="730"/>
      <c r="J176" s="730"/>
      <c r="K176" s="730"/>
      <c r="L176" s="730"/>
      <c r="M176" s="1058"/>
      <c r="N176" s="1058"/>
      <c r="O176" s="730"/>
      <c r="P176" s="730"/>
    </row>
    <row r="177" spans="2:16" x14ac:dyDescent="0.2">
      <c r="B177" s="730"/>
      <c r="C177" s="730"/>
      <c r="D177" s="730"/>
      <c r="E177" s="730"/>
      <c r="F177" s="730"/>
      <c r="G177" s="730"/>
      <c r="H177" s="730"/>
      <c r="I177" s="730"/>
      <c r="J177" s="730"/>
      <c r="K177" s="730"/>
      <c r="L177" s="730"/>
      <c r="M177" s="1058"/>
      <c r="N177" s="1058"/>
      <c r="O177" s="730"/>
      <c r="P177" s="730"/>
    </row>
    <row r="178" spans="2:16" x14ac:dyDescent="0.2">
      <c r="B178" s="730"/>
      <c r="C178" s="730"/>
      <c r="D178" s="730"/>
      <c r="E178" s="730"/>
      <c r="F178" s="730"/>
      <c r="G178" s="730"/>
      <c r="H178" s="730"/>
      <c r="I178" s="730"/>
      <c r="J178" s="730"/>
      <c r="K178" s="730"/>
      <c r="L178" s="730"/>
      <c r="M178" s="1058"/>
      <c r="N178" s="1058"/>
      <c r="O178" s="730"/>
      <c r="P178" s="730"/>
    </row>
    <row r="179" spans="2:16" x14ac:dyDescent="0.2">
      <c r="B179" s="730"/>
      <c r="C179" s="730"/>
      <c r="D179" s="730"/>
      <c r="E179" s="730"/>
      <c r="F179" s="730"/>
      <c r="G179" s="730"/>
      <c r="H179" s="730"/>
      <c r="I179" s="730"/>
      <c r="J179" s="730"/>
      <c r="K179" s="730"/>
      <c r="L179" s="730"/>
      <c r="M179" s="1058"/>
      <c r="N179" s="1058"/>
      <c r="O179" s="730"/>
      <c r="P179" s="730"/>
    </row>
    <row r="180" spans="2:16" x14ac:dyDescent="0.2">
      <c r="B180" s="730"/>
      <c r="C180" s="730"/>
      <c r="D180" s="730"/>
      <c r="E180" s="730"/>
      <c r="F180" s="730"/>
      <c r="G180" s="730"/>
      <c r="H180" s="730"/>
      <c r="I180" s="730"/>
      <c r="J180" s="730"/>
      <c r="K180" s="730"/>
      <c r="L180" s="730"/>
      <c r="M180" s="1058"/>
      <c r="N180" s="1058"/>
      <c r="O180" s="730"/>
      <c r="P180" s="730"/>
    </row>
  </sheetData>
  <mergeCells count="85">
    <mergeCell ref="M147:P147"/>
    <mergeCell ref="M148:P148"/>
    <mergeCell ref="B149:L149"/>
    <mergeCell ref="M149:P149"/>
    <mergeCell ref="M142:P142"/>
    <mergeCell ref="M143:P143"/>
    <mergeCell ref="M144:P144"/>
    <mergeCell ref="N145:P145"/>
    <mergeCell ref="N146:P146"/>
    <mergeCell ref="M163:N163"/>
    <mergeCell ref="M159:N159"/>
    <mergeCell ref="M160:N160"/>
    <mergeCell ref="M161:N161"/>
    <mergeCell ref="M158:N158"/>
    <mergeCell ref="B158:C158"/>
    <mergeCell ref="M162:N162"/>
    <mergeCell ref="P2:P3"/>
    <mergeCell ref="B4:O4"/>
    <mergeCell ref="P4:P5"/>
    <mergeCell ref="B5:O5"/>
    <mergeCell ref="F2:O2"/>
    <mergeCell ref="F3:O3"/>
    <mergeCell ref="B13:K13"/>
    <mergeCell ref="B6:K6"/>
    <mergeCell ref="M6:P6"/>
    <mergeCell ref="B7:K7"/>
    <mergeCell ref="M7:P7"/>
    <mergeCell ref="B8:K8"/>
    <mergeCell ref="B12:K12"/>
    <mergeCell ref="M8:P8"/>
    <mergeCell ref="B14:P14"/>
    <mergeCell ref="B15:K15"/>
    <mergeCell ref="L15:N15"/>
    <mergeCell ref="O15:P15"/>
    <mergeCell ref="B9:K9"/>
    <mergeCell ref="M9:P9"/>
    <mergeCell ref="B10:K10"/>
    <mergeCell ref="L10:P10"/>
    <mergeCell ref="B11:K11"/>
    <mergeCell ref="B16:K16"/>
    <mergeCell ref="L16:N16"/>
    <mergeCell ref="O16:P16"/>
    <mergeCell ref="B23:P23"/>
    <mergeCell ref="B17:K17"/>
    <mergeCell ref="L17:N17"/>
    <mergeCell ref="O17:P17"/>
    <mergeCell ref="B18:K18"/>
    <mergeCell ref="L18:N18"/>
    <mergeCell ref="O18:P18"/>
    <mergeCell ref="B19:K19"/>
    <mergeCell ref="L19:N19"/>
    <mergeCell ref="O19:P19"/>
    <mergeCell ref="B21:P21"/>
    <mergeCell ref="B22:P22"/>
    <mergeCell ref="B20:P20"/>
    <mergeCell ref="B24:K24"/>
    <mergeCell ref="L24:L27"/>
    <mergeCell ref="M24:O24"/>
    <mergeCell ref="B25:K25"/>
    <mergeCell ref="M25:M27"/>
    <mergeCell ref="N25:N27"/>
    <mergeCell ref="O25:O27"/>
    <mergeCell ref="B26:K26"/>
    <mergeCell ref="B27:K27"/>
    <mergeCell ref="B28:K28"/>
    <mergeCell ref="B151:L151"/>
    <mergeCell ref="N151:P151"/>
    <mergeCell ref="B152:P152"/>
    <mergeCell ref="M157:N157"/>
    <mergeCell ref="M156:N156"/>
    <mergeCell ref="B156:C156"/>
    <mergeCell ref="D156:L156"/>
    <mergeCell ref="B157:C157"/>
    <mergeCell ref="D157:L157"/>
    <mergeCell ref="M140:O140"/>
    <mergeCell ref="B153:P153"/>
    <mergeCell ref="B154:P154"/>
    <mergeCell ref="B155:P155"/>
    <mergeCell ref="B150:L150"/>
    <mergeCell ref="N150:P150"/>
    <mergeCell ref="B159:C159"/>
    <mergeCell ref="B160:C160"/>
    <mergeCell ref="B161:C161"/>
    <mergeCell ref="B162:C162"/>
    <mergeCell ref="B163:C163"/>
  </mergeCells>
  <pageMargins left="0.7" right="0.7" top="0.75" bottom="0.75" header="0.3" footer="0.3"/>
  <pageSetup paperSize="5" scale="71" orientation="portrait" horizontalDpi="0" verticalDpi="0" r:id="rId1"/>
  <rowBreaks count="1" manualBreakCount="1">
    <brk id="78" min="1" max="15" man="1"/>
  </rowBreaks>
  <colBreaks count="1" manualBreakCount="1">
    <brk id="16" max="1048575" man="1"/>
  </col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V186"/>
  <sheetViews>
    <sheetView view="pageBreakPreview" topLeftCell="F27" zoomScale="70" zoomScaleSheetLayoutView="70" workbookViewId="0">
      <selection activeCell="L132" sqref="L132"/>
    </sheetView>
  </sheetViews>
  <sheetFormatPr defaultColWidth="8.7109375" defaultRowHeight="12.75" x14ac:dyDescent="0.2"/>
  <cols>
    <col min="1" max="1" width="5.140625" style="715" customWidth="1"/>
    <col min="2" max="11" width="2.7109375" style="715" customWidth="1"/>
    <col min="12" max="12" width="47.5703125" style="715" customWidth="1"/>
    <col min="13" max="13" width="12.42578125" style="715" customWidth="1"/>
    <col min="14" max="14" width="8.5703125" style="715" customWidth="1"/>
    <col min="15" max="15" width="13.5703125" style="715" customWidth="1"/>
    <col min="16" max="16" width="16.5703125" style="715" customWidth="1"/>
    <col min="17" max="17" width="17.7109375" style="715" customWidth="1"/>
    <col min="18" max="18" width="14" style="715" bestFit="1" customWidth="1"/>
    <col min="19" max="19" width="12.5703125" style="715" bestFit="1" customWidth="1"/>
    <col min="20" max="20" width="8.7109375" style="715"/>
    <col min="21" max="21" width="15.28515625" style="715" bestFit="1" customWidth="1"/>
    <col min="22" max="22" width="11.5703125" style="715" bestFit="1" customWidth="1"/>
    <col min="23" max="16384" width="8.7109375" style="715"/>
  </cols>
  <sheetData>
    <row r="1" spans="2:16" ht="13.5" thickBot="1" x14ac:dyDescent="0.25"/>
    <row r="2" spans="2:16" ht="18.95" customHeight="1" thickTop="1" x14ac:dyDescent="0.2">
      <c r="B2" s="72"/>
      <c r="C2" s="73"/>
      <c r="D2" s="73"/>
      <c r="E2" s="73"/>
      <c r="F2" s="2174" t="s">
        <v>182</v>
      </c>
      <c r="G2" s="2174"/>
      <c r="H2" s="2174"/>
      <c r="I2" s="2174"/>
      <c r="J2" s="2174"/>
      <c r="K2" s="2174"/>
      <c r="L2" s="2174"/>
      <c r="M2" s="2174"/>
      <c r="N2" s="2174"/>
      <c r="O2" s="2175"/>
      <c r="P2" s="2178" t="s">
        <v>67</v>
      </c>
    </row>
    <row r="3" spans="2:16" ht="18.95" customHeight="1" x14ac:dyDescent="0.2">
      <c r="B3" s="74"/>
      <c r="C3" s="7"/>
      <c r="D3" s="7"/>
      <c r="E3" s="7"/>
      <c r="F3" s="2465" t="s">
        <v>183</v>
      </c>
      <c r="G3" s="2465"/>
      <c r="H3" s="2465"/>
      <c r="I3" s="2465"/>
      <c r="J3" s="2465"/>
      <c r="K3" s="2465"/>
      <c r="L3" s="2465"/>
      <c r="M3" s="2465"/>
      <c r="N3" s="2465"/>
      <c r="O3" s="2466"/>
      <c r="P3" s="2464"/>
    </row>
    <row r="4" spans="2:16" ht="12.95" customHeight="1" x14ac:dyDescent="0.2">
      <c r="B4" s="2182" t="s">
        <v>33</v>
      </c>
      <c r="C4" s="2183"/>
      <c r="D4" s="2183"/>
      <c r="E4" s="2183"/>
      <c r="F4" s="2183"/>
      <c r="G4" s="2183"/>
      <c r="H4" s="2183"/>
      <c r="I4" s="2183"/>
      <c r="J4" s="2183"/>
      <c r="K4" s="2183"/>
      <c r="L4" s="2183"/>
      <c r="M4" s="2183"/>
      <c r="N4" s="2183"/>
      <c r="O4" s="2604"/>
      <c r="P4" s="2605" t="s">
        <v>30</v>
      </c>
    </row>
    <row r="5" spans="2:16" ht="12.95" customHeight="1" thickBot="1" x14ac:dyDescent="0.25">
      <c r="B5" s="2373" t="str">
        <f>'RECAP APBD'!B5:F5</f>
        <v>Tahun Anggaran 2020</v>
      </c>
      <c r="C5" s="2374"/>
      <c r="D5" s="2374"/>
      <c r="E5" s="2374"/>
      <c r="F5" s="2374"/>
      <c r="G5" s="2374"/>
      <c r="H5" s="2374"/>
      <c r="I5" s="2374"/>
      <c r="J5" s="2374"/>
      <c r="K5" s="2374"/>
      <c r="L5" s="2374"/>
      <c r="M5" s="2374"/>
      <c r="N5" s="2374"/>
      <c r="O5" s="2470"/>
      <c r="P5" s="2606"/>
    </row>
    <row r="6" spans="2:16" ht="12.95" customHeight="1" x14ac:dyDescent="0.2">
      <c r="B6" s="2462" t="s">
        <v>453</v>
      </c>
      <c r="C6" s="2463"/>
      <c r="D6" s="2463"/>
      <c r="E6" s="2463"/>
      <c r="F6" s="2463"/>
      <c r="G6" s="2463"/>
      <c r="H6" s="2463"/>
      <c r="I6" s="2463"/>
      <c r="J6" s="2463"/>
      <c r="K6" s="2463"/>
      <c r="L6" s="1068" t="s">
        <v>442</v>
      </c>
      <c r="M6" s="2773" t="s">
        <v>437</v>
      </c>
      <c r="N6" s="2773"/>
      <c r="O6" s="2773"/>
      <c r="P6" s="2774"/>
    </row>
    <row r="7" spans="2:16" ht="12.95" customHeight="1" x14ac:dyDescent="0.2">
      <c r="B7" s="2471" t="s">
        <v>19</v>
      </c>
      <c r="C7" s="2355"/>
      <c r="D7" s="2355"/>
      <c r="E7" s="2355"/>
      <c r="F7" s="2355"/>
      <c r="G7" s="2355"/>
      <c r="H7" s="2355"/>
      <c r="I7" s="2355"/>
      <c r="J7" s="2355"/>
      <c r="K7" s="2355"/>
      <c r="L7" s="1066" t="s">
        <v>441</v>
      </c>
      <c r="M7" s="2775" t="s">
        <v>466</v>
      </c>
      <c r="N7" s="2775"/>
      <c r="O7" s="2775"/>
      <c r="P7" s="2776"/>
    </row>
    <row r="8" spans="2:16" ht="33.950000000000003" customHeight="1" x14ac:dyDescent="0.2">
      <c r="B8" s="2169" t="s">
        <v>32</v>
      </c>
      <c r="C8" s="2170"/>
      <c r="D8" s="2170"/>
      <c r="E8" s="2170"/>
      <c r="F8" s="2170"/>
      <c r="G8" s="2170"/>
      <c r="H8" s="2170"/>
      <c r="I8" s="2170"/>
      <c r="J8" s="2170"/>
      <c r="K8" s="2170"/>
      <c r="L8" s="1059" t="s">
        <v>254</v>
      </c>
      <c r="M8" s="2170" t="s">
        <v>561</v>
      </c>
      <c r="N8" s="2170"/>
      <c r="O8" s="2170"/>
      <c r="P8" s="2171"/>
    </row>
    <row r="9" spans="2:16" ht="30.6" customHeight="1" x14ac:dyDescent="0.2">
      <c r="B9" s="2477" t="s">
        <v>20</v>
      </c>
      <c r="C9" s="2478"/>
      <c r="D9" s="2478"/>
      <c r="E9" s="2478"/>
      <c r="F9" s="2478"/>
      <c r="G9" s="2478"/>
      <c r="H9" s="2478"/>
      <c r="I9" s="2478"/>
      <c r="J9" s="2478"/>
      <c r="K9" s="2478"/>
      <c r="L9" s="1526" t="s">
        <v>562</v>
      </c>
      <c r="M9" s="2777" t="s">
        <v>563</v>
      </c>
      <c r="N9" s="2777"/>
      <c r="O9" s="2777"/>
      <c r="P9" s="2778"/>
    </row>
    <row r="10" spans="2:16" ht="12.95" customHeight="1" x14ac:dyDescent="0.2">
      <c r="B10" s="2471" t="s">
        <v>221</v>
      </c>
      <c r="C10" s="2355"/>
      <c r="D10" s="2355"/>
      <c r="E10" s="2355"/>
      <c r="F10" s="2355"/>
      <c r="G10" s="2355"/>
      <c r="H10" s="2355"/>
      <c r="I10" s="2355"/>
      <c r="J10" s="2355"/>
      <c r="K10" s="2355"/>
      <c r="L10" s="2475" t="s">
        <v>1151</v>
      </c>
      <c r="M10" s="2475"/>
      <c r="N10" s="2475"/>
      <c r="O10" s="2475"/>
      <c r="P10" s="2476"/>
    </row>
    <row r="11" spans="2:16" ht="12.95" customHeight="1" x14ac:dyDescent="0.2">
      <c r="B11" s="2471" t="s">
        <v>222</v>
      </c>
      <c r="C11" s="2355"/>
      <c r="D11" s="2355"/>
      <c r="E11" s="2355"/>
      <c r="F11" s="2355"/>
      <c r="G11" s="2355"/>
      <c r="H11" s="2355"/>
      <c r="I11" s="2355"/>
      <c r="J11" s="2355"/>
      <c r="K11" s="2355"/>
      <c r="L11" s="35">
        <v>0</v>
      </c>
      <c r="M11" s="35"/>
      <c r="N11" s="35"/>
      <c r="O11" s="35"/>
      <c r="P11" s="77"/>
    </row>
    <row r="12" spans="2:16" ht="12.95" customHeight="1" x14ac:dyDescent="0.2">
      <c r="B12" s="2471" t="s">
        <v>223</v>
      </c>
      <c r="C12" s="2355"/>
      <c r="D12" s="2355"/>
      <c r="E12" s="2355"/>
      <c r="F12" s="2355"/>
      <c r="G12" s="2355"/>
      <c r="H12" s="2355"/>
      <c r="I12" s="2355"/>
      <c r="J12" s="2355"/>
      <c r="K12" s="2355"/>
      <c r="L12" s="152">
        <f>+P29</f>
        <v>268769930</v>
      </c>
      <c r="M12" s="35"/>
      <c r="N12" s="35"/>
      <c r="O12" s="35"/>
      <c r="P12" s="77"/>
    </row>
    <row r="13" spans="2:16" ht="12.95" customHeight="1" x14ac:dyDescent="0.2">
      <c r="B13" s="2471" t="s">
        <v>224</v>
      </c>
      <c r="C13" s="2355"/>
      <c r="D13" s="2355"/>
      <c r="E13" s="2355"/>
      <c r="F13" s="2355"/>
      <c r="G13" s="2355"/>
      <c r="H13" s="2355"/>
      <c r="I13" s="2355"/>
      <c r="J13" s="2355"/>
      <c r="K13" s="2355"/>
      <c r="L13" s="152">
        <f>L12+(L12*5%)</f>
        <v>282208426.5</v>
      </c>
      <c r="M13" s="35"/>
      <c r="N13" s="35"/>
      <c r="O13" s="35"/>
      <c r="P13" s="77"/>
    </row>
    <row r="14" spans="2:16" ht="12.95" customHeight="1" x14ac:dyDescent="0.2">
      <c r="B14" s="2479" t="s">
        <v>225</v>
      </c>
      <c r="C14" s="2289"/>
      <c r="D14" s="2289"/>
      <c r="E14" s="2289"/>
      <c r="F14" s="2289"/>
      <c r="G14" s="2289"/>
      <c r="H14" s="2289"/>
      <c r="I14" s="2289"/>
      <c r="J14" s="2289"/>
      <c r="K14" s="2289"/>
      <c r="L14" s="2289"/>
      <c r="M14" s="2289"/>
      <c r="N14" s="2289"/>
      <c r="O14" s="2289"/>
      <c r="P14" s="2290"/>
    </row>
    <row r="15" spans="2:16" ht="12.95" customHeight="1" x14ac:dyDescent="0.2">
      <c r="B15" s="2479" t="s">
        <v>36</v>
      </c>
      <c r="C15" s="2289"/>
      <c r="D15" s="2289"/>
      <c r="E15" s="2289"/>
      <c r="F15" s="2289"/>
      <c r="G15" s="2289"/>
      <c r="H15" s="2289"/>
      <c r="I15" s="2289"/>
      <c r="J15" s="2289"/>
      <c r="K15" s="2512"/>
      <c r="L15" s="2288" t="s">
        <v>226</v>
      </c>
      <c r="M15" s="2289"/>
      <c r="N15" s="2512"/>
      <c r="O15" s="2288" t="s">
        <v>227</v>
      </c>
      <c r="P15" s="2290"/>
    </row>
    <row r="16" spans="2:16" ht="26.1" customHeight="1" x14ac:dyDescent="0.2">
      <c r="B16" s="2762" t="s">
        <v>37</v>
      </c>
      <c r="C16" s="2763"/>
      <c r="D16" s="2763"/>
      <c r="E16" s="2763"/>
      <c r="F16" s="2763"/>
      <c r="G16" s="2763"/>
      <c r="H16" s="2763"/>
      <c r="I16" s="2763"/>
      <c r="J16" s="2763"/>
      <c r="K16" s="2764"/>
      <c r="L16" s="2771" t="s">
        <v>779</v>
      </c>
      <c r="M16" s="2726"/>
      <c r="N16" s="2727"/>
      <c r="O16" s="2772">
        <v>1</v>
      </c>
      <c r="P16" s="2752"/>
    </row>
    <row r="17" spans="2:19" ht="12.95" customHeight="1" x14ac:dyDescent="0.2">
      <c r="B17" s="2762" t="s">
        <v>228</v>
      </c>
      <c r="C17" s="2763"/>
      <c r="D17" s="2763"/>
      <c r="E17" s="2763"/>
      <c r="F17" s="2763"/>
      <c r="G17" s="2763"/>
      <c r="H17" s="2763"/>
      <c r="I17" s="2763"/>
      <c r="J17" s="2763"/>
      <c r="K17" s="2764"/>
      <c r="L17" s="2725" t="s">
        <v>287</v>
      </c>
      <c r="M17" s="2726"/>
      <c r="N17" s="2727"/>
      <c r="O17" s="2765">
        <f>P29</f>
        <v>268769930</v>
      </c>
      <c r="P17" s="2766"/>
    </row>
    <row r="18" spans="2:19" ht="12.95" customHeight="1" x14ac:dyDescent="0.2">
      <c r="B18" s="2762" t="s">
        <v>229</v>
      </c>
      <c r="C18" s="2763"/>
      <c r="D18" s="2763"/>
      <c r="E18" s="2763"/>
      <c r="F18" s="2763"/>
      <c r="G18" s="2763"/>
      <c r="H18" s="2763"/>
      <c r="I18" s="2763"/>
      <c r="J18" s="2763"/>
      <c r="K18" s="2764"/>
      <c r="L18" s="2725" t="s">
        <v>727</v>
      </c>
      <c r="M18" s="2726"/>
      <c r="N18" s="2727"/>
      <c r="O18" s="2767" t="s">
        <v>691</v>
      </c>
      <c r="P18" s="2754"/>
    </row>
    <row r="19" spans="2:19" ht="12.95" customHeight="1" x14ac:dyDescent="0.2">
      <c r="B19" s="2762" t="s">
        <v>230</v>
      </c>
      <c r="C19" s="2763"/>
      <c r="D19" s="2763"/>
      <c r="E19" s="2763"/>
      <c r="F19" s="2763"/>
      <c r="G19" s="2763"/>
      <c r="H19" s="2763"/>
      <c r="I19" s="2763"/>
      <c r="J19" s="2763"/>
      <c r="K19" s="2764"/>
      <c r="L19" s="2725" t="s">
        <v>782</v>
      </c>
      <c r="M19" s="2726"/>
      <c r="N19" s="2727"/>
      <c r="O19" s="2767">
        <v>0.15</v>
      </c>
      <c r="P19" s="2754"/>
    </row>
    <row r="20" spans="2:19" ht="6.95" customHeight="1" x14ac:dyDescent="0.2">
      <c r="B20" s="2768"/>
      <c r="C20" s="2769"/>
      <c r="D20" s="2769"/>
      <c r="E20" s="2769"/>
      <c r="F20" s="2769"/>
      <c r="G20" s="2769"/>
      <c r="H20" s="2769"/>
      <c r="I20" s="2769"/>
      <c r="J20" s="2769"/>
      <c r="K20" s="2769"/>
      <c r="L20" s="2769"/>
      <c r="M20" s="2769"/>
      <c r="N20" s="2769"/>
      <c r="O20" s="2769"/>
      <c r="P20" s="2770"/>
    </row>
    <row r="21" spans="2:19" ht="12.95" customHeight="1" x14ac:dyDescent="0.2">
      <c r="B21" s="2736" t="s">
        <v>506</v>
      </c>
      <c r="C21" s="2737"/>
      <c r="D21" s="2737"/>
      <c r="E21" s="2737"/>
      <c r="F21" s="2737"/>
      <c r="G21" s="2737"/>
      <c r="H21" s="2737"/>
      <c r="I21" s="2737"/>
      <c r="J21" s="2737"/>
      <c r="K21" s="2737"/>
      <c r="L21" s="2737"/>
      <c r="M21" s="2737"/>
      <c r="N21" s="2737"/>
      <c r="O21" s="2737"/>
      <c r="P21" s="2738"/>
    </row>
    <row r="22" spans="2:19" ht="12.95" customHeight="1" x14ac:dyDescent="0.2">
      <c r="B22" s="2487" t="s">
        <v>231</v>
      </c>
      <c r="C22" s="2488"/>
      <c r="D22" s="2488"/>
      <c r="E22" s="2488"/>
      <c r="F22" s="2488"/>
      <c r="G22" s="2488"/>
      <c r="H22" s="2488"/>
      <c r="I22" s="2488"/>
      <c r="J22" s="2488"/>
      <c r="K22" s="2488"/>
      <c r="L22" s="2488"/>
      <c r="M22" s="2488"/>
      <c r="N22" s="2488"/>
      <c r="O22" s="2488"/>
      <c r="P22" s="2489"/>
    </row>
    <row r="23" spans="2:19" ht="12.95" customHeight="1" x14ac:dyDescent="0.2">
      <c r="B23" s="2490" t="s">
        <v>38</v>
      </c>
      <c r="C23" s="2491"/>
      <c r="D23" s="2491"/>
      <c r="E23" s="2491"/>
      <c r="F23" s="2491"/>
      <c r="G23" s="2491"/>
      <c r="H23" s="2491"/>
      <c r="I23" s="2491"/>
      <c r="J23" s="2491"/>
      <c r="K23" s="2491"/>
      <c r="L23" s="2491"/>
      <c r="M23" s="2491"/>
      <c r="N23" s="2491"/>
      <c r="O23" s="2491"/>
      <c r="P23" s="2492"/>
    </row>
    <row r="24" spans="2:19" ht="12.95" customHeight="1" x14ac:dyDescent="0.2">
      <c r="B24" s="2493"/>
      <c r="C24" s="2264"/>
      <c r="D24" s="2264"/>
      <c r="E24" s="2264"/>
      <c r="F24" s="2264"/>
      <c r="G24" s="2264"/>
      <c r="H24" s="2264"/>
      <c r="I24" s="2264"/>
      <c r="J24" s="2264"/>
      <c r="K24" s="2494"/>
      <c r="L24" s="2741" t="s">
        <v>191</v>
      </c>
      <c r="M24" s="2498" t="s">
        <v>198</v>
      </c>
      <c r="N24" s="2499"/>
      <c r="O24" s="2743"/>
      <c r="P24" s="718"/>
    </row>
    <row r="25" spans="2:19" ht="12.95" customHeight="1" x14ac:dyDescent="0.2">
      <c r="B25" s="2448" t="s">
        <v>189</v>
      </c>
      <c r="C25" s="2449"/>
      <c r="D25" s="2449"/>
      <c r="E25" s="2449"/>
      <c r="F25" s="2449"/>
      <c r="G25" s="2449"/>
      <c r="H25" s="2449"/>
      <c r="I25" s="2449"/>
      <c r="J25" s="2449"/>
      <c r="K25" s="2450"/>
      <c r="L25" s="2405"/>
      <c r="M25" s="2750" t="s">
        <v>200</v>
      </c>
      <c r="N25" s="2603" t="s">
        <v>26</v>
      </c>
      <c r="O25" s="2603" t="s">
        <v>217</v>
      </c>
      <c r="P25" s="374" t="s">
        <v>192</v>
      </c>
    </row>
    <row r="26" spans="2:19" ht="12.95" customHeight="1" x14ac:dyDescent="0.2">
      <c r="B26" s="2448" t="s">
        <v>197</v>
      </c>
      <c r="C26" s="2449"/>
      <c r="D26" s="2449"/>
      <c r="E26" s="2449"/>
      <c r="F26" s="2449"/>
      <c r="G26" s="2449"/>
      <c r="H26" s="2449"/>
      <c r="I26" s="2449"/>
      <c r="J26" s="2449"/>
      <c r="K26" s="2450"/>
      <c r="L26" s="2405"/>
      <c r="M26" s="2496"/>
      <c r="N26" s="2405"/>
      <c r="O26" s="2405"/>
      <c r="P26" s="374" t="s">
        <v>193</v>
      </c>
    </row>
    <row r="27" spans="2:19" ht="12.95" customHeight="1" x14ac:dyDescent="0.2">
      <c r="B27" s="2451"/>
      <c r="C27" s="2452"/>
      <c r="D27" s="2452"/>
      <c r="E27" s="2452"/>
      <c r="F27" s="2452"/>
      <c r="G27" s="2452"/>
      <c r="H27" s="2452"/>
      <c r="I27" s="2452"/>
      <c r="J27" s="2452"/>
      <c r="K27" s="2453"/>
      <c r="L27" s="2761"/>
      <c r="M27" s="2497"/>
      <c r="N27" s="2406"/>
      <c r="O27" s="2406"/>
      <c r="P27" s="1321"/>
    </row>
    <row r="28" spans="2:19" ht="12.95" customHeight="1" thickBot="1" x14ac:dyDescent="0.25">
      <c r="B28" s="2483">
        <v>1</v>
      </c>
      <c r="C28" s="2484"/>
      <c r="D28" s="2484"/>
      <c r="E28" s="2484"/>
      <c r="F28" s="2484"/>
      <c r="G28" s="2484"/>
      <c r="H28" s="2484"/>
      <c r="I28" s="2484"/>
      <c r="J28" s="2484"/>
      <c r="K28" s="2485"/>
      <c r="L28" s="1077">
        <v>2</v>
      </c>
      <c r="M28" s="1077">
        <v>3</v>
      </c>
      <c r="N28" s="1077">
        <v>4</v>
      </c>
      <c r="O28" s="12">
        <v>5</v>
      </c>
      <c r="P28" s="375" t="s">
        <v>24</v>
      </c>
    </row>
    <row r="29" spans="2:19" ht="12.95" customHeight="1" thickTop="1" x14ac:dyDescent="0.2">
      <c r="B29" s="331">
        <v>1</v>
      </c>
      <c r="C29" s="332" t="s">
        <v>440</v>
      </c>
      <c r="D29" s="332" t="s">
        <v>142</v>
      </c>
      <c r="E29" s="333"/>
      <c r="F29" s="1063"/>
      <c r="G29" s="335">
        <v>5</v>
      </c>
      <c r="H29" s="335">
        <v>2</v>
      </c>
      <c r="I29" s="221"/>
      <c r="J29" s="376"/>
      <c r="K29" s="376"/>
      <c r="L29" s="456" t="s">
        <v>108</v>
      </c>
      <c r="M29" s="457"/>
      <c r="N29" s="458"/>
      <c r="O29" s="458"/>
      <c r="P29" s="1322">
        <f>P30</f>
        <v>268769930</v>
      </c>
      <c r="Q29" s="1217">
        <f>L11</f>
        <v>0</v>
      </c>
    </row>
    <row r="30" spans="2:19" ht="12.95" customHeight="1" x14ac:dyDescent="0.2">
      <c r="B30" s="464">
        <v>1</v>
      </c>
      <c r="C30" s="465" t="s">
        <v>440</v>
      </c>
      <c r="D30" s="465" t="s">
        <v>142</v>
      </c>
      <c r="E30" s="357">
        <v>15</v>
      </c>
      <c r="F30" s="461"/>
      <c r="G30" s="462"/>
      <c r="H30" s="462"/>
      <c r="I30" s="462"/>
      <c r="J30" s="463"/>
      <c r="K30" s="463"/>
      <c r="L30" s="466" t="s">
        <v>561</v>
      </c>
      <c r="M30" s="229"/>
      <c r="N30" s="230"/>
      <c r="O30" s="230"/>
      <c r="P30" s="646">
        <f>SUM(P31)</f>
        <v>268769930</v>
      </c>
      <c r="Q30" s="725">
        <f>P30-Q29</f>
        <v>268769930</v>
      </c>
    </row>
    <row r="31" spans="2:19" ht="12.95" customHeight="1" x14ac:dyDescent="0.2">
      <c r="B31" s="355">
        <v>1</v>
      </c>
      <c r="C31" s="356" t="s">
        <v>440</v>
      </c>
      <c r="D31" s="356" t="s">
        <v>142</v>
      </c>
      <c r="E31" s="461">
        <v>15</v>
      </c>
      <c r="F31" s="474" t="s">
        <v>572</v>
      </c>
      <c r="G31" s="462"/>
      <c r="H31" s="462"/>
      <c r="I31" s="468"/>
      <c r="J31" s="463"/>
      <c r="K31" s="463"/>
      <c r="L31" s="475" t="s">
        <v>563</v>
      </c>
      <c r="M31" s="459"/>
      <c r="N31" s="460"/>
      <c r="O31" s="460"/>
      <c r="P31" s="646">
        <f>SUM(P33+P71)</f>
        <v>268769930</v>
      </c>
      <c r="Q31" s="1185"/>
    </row>
    <row r="32" spans="2:19" ht="12.95" customHeight="1" x14ac:dyDescent="0.2">
      <c r="B32" s="377"/>
      <c r="C32" s="378"/>
      <c r="D32" s="378"/>
      <c r="E32" s="379"/>
      <c r="F32" s="378"/>
      <c r="G32" s="380"/>
      <c r="H32" s="380"/>
      <c r="I32" s="380"/>
      <c r="J32" s="381"/>
      <c r="K32" s="384"/>
      <c r="L32" s="1323"/>
      <c r="M32" s="382"/>
      <c r="N32" s="383"/>
      <c r="O32" s="383"/>
      <c r="P32" s="1324"/>
      <c r="S32" s="720"/>
    </row>
    <row r="33" spans="2:19" ht="12.95" customHeight="1" x14ac:dyDescent="0.2">
      <c r="B33" s="80">
        <v>1</v>
      </c>
      <c r="C33" s="33" t="s">
        <v>440</v>
      </c>
      <c r="D33" s="33" t="s">
        <v>142</v>
      </c>
      <c r="E33" s="222">
        <v>15</v>
      </c>
      <c r="F33" s="323" t="s">
        <v>572</v>
      </c>
      <c r="G33" s="380">
        <v>5</v>
      </c>
      <c r="H33" s="380">
        <v>2</v>
      </c>
      <c r="I33" s="380">
        <v>1</v>
      </c>
      <c r="J33" s="381"/>
      <c r="K33" s="381"/>
      <c r="L33" s="385" t="s">
        <v>86</v>
      </c>
      <c r="M33" s="1325"/>
      <c r="N33" s="1326"/>
      <c r="O33" s="1326"/>
      <c r="P33" s="1324">
        <f>P34+P62</f>
        <v>89815000</v>
      </c>
      <c r="S33" s="725"/>
    </row>
    <row r="34" spans="2:19" ht="12.95" customHeight="1" x14ac:dyDescent="0.2">
      <c r="B34" s="80">
        <v>1</v>
      </c>
      <c r="C34" s="33" t="s">
        <v>440</v>
      </c>
      <c r="D34" s="33" t="s">
        <v>142</v>
      </c>
      <c r="E34" s="222">
        <v>15</v>
      </c>
      <c r="F34" s="323" t="s">
        <v>572</v>
      </c>
      <c r="G34" s="380">
        <v>5</v>
      </c>
      <c r="H34" s="380">
        <v>2</v>
      </c>
      <c r="I34" s="380">
        <v>1</v>
      </c>
      <c r="J34" s="378" t="s">
        <v>142</v>
      </c>
      <c r="K34" s="380"/>
      <c r="L34" s="386" t="s">
        <v>275</v>
      </c>
      <c r="M34" s="1325"/>
      <c r="N34" s="1327"/>
      <c r="O34" s="1327"/>
      <c r="P34" s="1324">
        <f>SUM(P38+P35)</f>
        <v>73090000</v>
      </c>
      <c r="S34" s="725"/>
    </row>
    <row r="35" spans="2:19" ht="12.95" customHeight="1" x14ac:dyDescent="0.2">
      <c r="B35" s="80">
        <v>1</v>
      </c>
      <c r="C35" s="33" t="s">
        <v>440</v>
      </c>
      <c r="D35" s="33" t="s">
        <v>142</v>
      </c>
      <c r="E35" s="222">
        <v>15</v>
      </c>
      <c r="F35" s="323" t="s">
        <v>572</v>
      </c>
      <c r="G35" s="222">
        <v>5</v>
      </c>
      <c r="H35" s="222">
        <v>2</v>
      </c>
      <c r="I35" s="221">
        <v>1</v>
      </c>
      <c r="J35" s="219" t="s">
        <v>142</v>
      </c>
      <c r="K35" s="219" t="s">
        <v>142</v>
      </c>
      <c r="L35" s="235" t="s">
        <v>143</v>
      </c>
      <c r="M35" s="1270"/>
      <c r="N35" s="1271"/>
      <c r="O35" s="1272"/>
      <c r="P35" s="1273">
        <f>SUM(P36:P36)</f>
        <v>1800000</v>
      </c>
      <c r="S35" s="725"/>
    </row>
    <row r="36" spans="2:19" ht="40.5" customHeight="1" x14ac:dyDescent="0.2">
      <c r="B36" s="218"/>
      <c r="C36" s="219"/>
      <c r="D36" s="219"/>
      <c r="E36" s="236"/>
      <c r="F36" s="219"/>
      <c r="G36" s="221"/>
      <c r="H36" s="221"/>
      <c r="I36" s="237"/>
      <c r="J36" s="238"/>
      <c r="K36" s="219"/>
      <c r="L36" s="239" t="s">
        <v>932</v>
      </c>
      <c r="M36" s="1343">
        <v>6</v>
      </c>
      <c r="N36" s="1579" t="s">
        <v>138</v>
      </c>
      <c r="O36" s="1580">
        <v>300000</v>
      </c>
      <c r="P36" s="1581">
        <f>O36*M36</f>
        <v>1800000</v>
      </c>
      <c r="S36" s="725"/>
    </row>
    <row r="37" spans="2:19" ht="12.95" customHeight="1" x14ac:dyDescent="0.2">
      <c r="B37" s="377"/>
      <c r="C37" s="378"/>
      <c r="D37" s="378"/>
      <c r="E37" s="379"/>
      <c r="F37" s="379"/>
      <c r="G37" s="380"/>
      <c r="H37" s="380"/>
      <c r="I37" s="380"/>
      <c r="J37" s="378"/>
      <c r="K37" s="380"/>
      <c r="L37" s="386"/>
      <c r="M37" s="1344"/>
      <c r="N37" s="1327"/>
      <c r="O37" s="1327"/>
      <c r="P37" s="1324"/>
      <c r="S37" s="725"/>
    </row>
    <row r="38" spans="2:19" ht="12.95" customHeight="1" x14ac:dyDescent="0.2">
      <c r="B38" s="80">
        <v>1</v>
      </c>
      <c r="C38" s="33" t="s">
        <v>440</v>
      </c>
      <c r="D38" s="33" t="s">
        <v>142</v>
      </c>
      <c r="E38" s="222">
        <v>15</v>
      </c>
      <c r="F38" s="323" t="s">
        <v>572</v>
      </c>
      <c r="G38" s="380">
        <v>5</v>
      </c>
      <c r="H38" s="380">
        <v>2</v>
      </c>
      <c r="I38" s="380">
        <v>1</v>
      </c>
      <c r="J38" s="378" t="s">
        <v>142</v>
      </c>
      <c r="K38" s="378" t="s">
        <v>181</v>
      </c>
      <c r="L38" s="602" t="s">
        <v>283</v>
      </c>
      <c r="M38" s="1345"/>
      <c r="N38" s="1328"/>
      <c r="O38" s="1329"/>
      <c r="P38" s="1330">
        <f>SUM(P48+P53+P39)</f>
        <v>71290000</v>
      </c>
    </row>
    <row r="39" spans="2:19" ht="12.95" customHeight="1" x14ac:dyDescent="0.2">
      <c r="B39" s="208"/>
      <c r="C39" s="68"/>
      <c r="D39" s="68"/>
      <c r="E39" s="1520"/>
      <c r="F39" s="1521"/>
      <c r="G39" s="380"/>
      <c r="H39" s="380"/>
      <c r="I39" s="380"/>
      <c r="J39" s="378"/>
      <c r="K39" s="378"/>
      <c r="L39" s="602" t="s">
        <v>1093</v>
      </c>
      <c r="M39" s="1345"/>
      <c r="N39" s="1328"/>
      <c r="O39" s="1329"/>
      <c r="P39" s="1330">
        <f>SUM(P40:P47)</f>
        <v>16290000</v>
      </c>
    </row>
    <row r="40" spans="2:19" ht="12.95" customHeight="1" x14ac:dyDescent="0.2">
      <c r="B40" s="208"/>
      <c r="C40" s="68"/>
      <c r="D40" s="68"/>
      <c r="E40" s="1520"/>
      <c r="F40" s="1521"/>
      <c r="G40" s="380"/>
      <c r="H40" s="380"/>
      <c r="I40" s="380"/>
      <c r="J40" s="378"/>
      <c r="K40" s="378"/>
      <c r="L40" s="603" t="s">
        <v>1117</v>
      </c>
      <c r="M40" s="1438">
        <f>2*3</f>
        <v>6</v>
      </c>
      <c r="N40" s="1439" t="s">
        <v>147</v>
      </c>
      <c r="O40" s="1440">
        <v>500000</v>
      </c>
      <c r="P40" s="1948">
        <f>O40*M40</f>
        <v>3000000</v>
      </c>
    </row>
    <row r="41" spans="2:19" ht="12.95" customHeight="1" x14ac:dyDescent="0.2">
      <c r="B41" s="208"/>
      <c r="C41" s="68"/>
      <c r="D41" s="68"/>
      <c r="E41" s="1520"/>
      <c r="F41" s="1521"/>
      <c r="G41" s="380"/>
      <c r="H41" s="380"/>
      <c r="I41" s="380"/>
      <c r="J41" s="378"/>
      <c r="K41" s="378"/>
      <c r="L41" s="1950" t="s">
        <v>1097</v>
      </c>
      <c r="M41" s="1438">
        <f>3*1</f>
        <v>3</v>
      </c>
      <c r="N41" s="1439" t="s">
        <v>147</v>
      </c>
      <c r="O41" s="1440">
        <v>450000</v>
      </c>
      <c r="P41" s="1948">
        <f>O41*M41</f>
        <v>1350000</v>
      </c>
    </row>
    <row r="42" spans="2:19" ht="12.95" customHeight="1" x14ac:dyDescent="0.2">
      <c r="B42" s="208"/>
      <c r="C42" s="68"/>
      <c r="D42" s="68"/>
      <c r="E42" s="1520"/>
      <c r="F42" s="1521"/>
      <c r="G42" s="380"/>
      <c r="H42" s="380"/>
      <c r="I42" s="380"/>
      <c r="J42" s="378"/>
      <c r="K42" s="378"/>
      <c r="L42" s="1950" t="s">
        <v>1098</v>
      </c>
      <c r="M42" s="1438">
        <f t="shared" ref="M42:M51" si="0">3*1</f>
        <v>3</v>
      </c>
      <c r="N42" s="1439" t="s">
        <v>147</v>
      </c>
      <c r="O42" s="1440">
        <v>400000</v>
      </c>
      <c r="P42" s="1948">
        <f>O42*M42</f>
        <v>1200000</v>
      </c>
    </row>
    <row r="43" spans="2:19" ht="12.95" customHeight="1" x14ac:dyDescent="0.2">
      <c r="B43" s="208"/>
      <c r="C43" s="68"/>
      <c r="D43" s="68"/>
      <c r="E43" s="1520"/>
      <c r="F43" s="1521"/>
      <c r="G43" s="380"/>
      <c r="H43" s="380"/>
      <c r="I43" s="380"/>
      <c r="J43" s="378"/>
      <c r="K43" s="378"/>
      <c r="L43" s="603" t="s">
        <v>657</v>
      </c>
      <c r="M43" s="1438">
        <f t="shared" si="0"/>
        <v>3</v>
      </c>
      <c r="N43" s="1439" t="s">
        <v>147</v>
      </c>
      <c r="O43" s="1440">
        <v>350000</v>
      </c>
      <c r="P43" s="1948">
        <f>O43*M43</f>
        <v>1050000</v>
      </c>
    </row>
    <row r="44" spans="2:19" ht="12.95" customHeight="1" x14ac:dyDescent="0.2">
      <c r="B44" s="208"/>
      <c r="C44" s="68"/>
      <c r="D44" s="68"/>
      <c r="E44" s="1520"/>
      <c r="F44" s="1521"/>
      <c r="G44" s="380"/>
      <c r="H44" s="380"/>
      <c r="I44" s="380"/>
      <c r="J44" s="378"/>
      <c r="K44" s="378"/>
      <c r="L44" s="603" t="s">
        <v>1055</v>
      </c>
      <c r="M44" s="1438">
        <f t="shared" si="0"/>
        <v>3</v>
      </c>
      <c r="N44" s="1439" t="s">
        <v>147</v>
      </c>
      <c r="O44" s="1440">
        <v>325000</v>
      </c>
      <c r="P44" s="1948">
        <f t="shared" ref="P44:P47" si="1">O44*M44</f>
        <v>975000</v>
      </c>
    </row>
    <row r="45" spans="2:19" ht="12.95" customHeight="1" x14ac:dyDescent="0.2">
      <c r="B45" s="208"/>
      <c r="C45" s="68"/>
      <c r="D45" s="68"/>
      <c r="E45" s="1520"/>
      <c r="F45" s="1521"/>
      <c r="G45" s="380"/>
      <c r="H45" s="380"/>
      <c r="I45" s="380"/>
      <c r="J45" s="378"/>
      <c r="K45" s="378"/>
      <c r="L45" s="603" t="s">
        <v>1094</v>
      </c>
      <c r="M45" s="1438">
        <f t="shared" si="0"/>
        <v>3</v>
      </c>
      <c r="N45" s="1439" t="s">
        <v>147</v>
      </c>
      <c r="O45" s="1440">
        <v>300000</v>
      </c>
      <c r="P45" s="1948">
        <f t="shared" si="1"/>
        <v>900000</v>
      </c>
    </row>
    <row r="46" spans="2:19" ht="12.95" customHeight="1" x14ac:dyDescent="0.2">
      <c r="B46" s="208"/>
      <c r="C46" s="68"/>
      <c r="D46" s="68"/>
      <c r="E46" s="1520"/>
      <c r="F46" s="1521"/>
      <c r="G46" s="380"/>
      <c r="H46" s="380"/>
      <c r="I46" s="380"/>
      <c r="J46" s="378"/>
      <c r="K46" s="378"/>
      <c r="L46" s="1950" t="s">
        <v>1219</v>
      </c>
      <c r="M46" s="1438">
        <f>3*3</f>
        <v>9</v>
      </c>
      <c r="N46" s="1439" t="s">
        <v>147</v>
      </c>
      <c r="O46" s="1440">
        <v>285000</v>
      </c>
      <c r="P46" s="1948">
        <f t="shared" si="1"/>
        <v>2565000</v>
      </c>
    </row>
    <row r="47" spans="2:19" ht="12.95" customHeight="1" x14ac:dyDescent="0.2">
      <c r="B47" s="208"/>
      <c r="C47" s="68"/>
      <c r="D47" s="68"/>
      <c r="E47" s="1520"/>
      <c r="F47" s="1521"/>
      <c r="G47" s="380"/>
      <c r="H47" s="380"/>
      <c r="I47" s="380"/>
      <c r="J47" s="378"/>
      <c r="K47" s="378"/>
      <c r="L47" s="1950" t="s">
        <v>1144</v>
      </c>
      <c r="M47" s="1438">
        <f>7*3</f>
        <v>21</v>
      </c>
      <c r="N47" s="1439" t="s">
        <v>147</v>
      </c>
      <c r="O47" s="1440">
        <v>250000</v>
      </c>
      <c r="P47" s="1948">
        <f t="shared" si="1"/>
        <v>5250000</v>
      </c>
    </row>
    <row r="48" spans="2:19" ht="12.95" customHeight="1" x14ac:dyDescent="0.2">
      <c r="B48" s="208"/>
      <c r="C48" s="68"/>
      <c r="D48" s="68"/>
      <c r="E48" s="1520"/>
      <c r="F48" s="1521"/>
      <c r="G48" s="380"/>
      <c r="H48" s="380"/>
      <c r="I48" s="380"/>
      <c r="J48" s="378"/>
      <c r="K48" s="378"/>
      <c r="L48" s="602" t="s">
        <v>1096</v>
      </c>
      <c r="M48" s="1345"/>
      <c r="N48" s="1328"/>
      <c r="O48" s="1329"/>
      <c r="P48" s="1330">
        <f>SUM(P49:P52)</f>
        <v>7425000</v>
      </c>
    </row>
    <row r="49" spans="2:21" s="1890" customFormat="1" ht="12.95" customHeight="1" x14ac:dyDescent="0.2">
      <c r="B49" s="1944"/>
      <c r="C49" s="1945"/>
      <c r="D49" s="1945"/>
      <c r="E49" s="1946"/>
      <c r="F49" s="1945"/>
      <c r="G49" s="1947"/>
      <c r="H49" s="1947"/>
      <c r="I49" s="1947"/>
      <c r="J49" s="1945"/>
      <c r="K49" s="1945"/>
      <c r="L49" s="603" t="s">
        <v>657</v>
      </c>
      <c r="M49" s="1438">
        <f t="shared" si="0"/>
        <v>3</v>
      </c>
      <c r="N49" s="1439" t="s">
        <v>147</v>
      </c>
      <c r="O49" s="1440">
        <v>350000</v>
      </c>
      <c r="P49" s="1948">
        <f>O49*M49</f>
        <v>1050000</v>
      </c>
    </row>
    <row r="50" spans="2:21" s="1890" customFormat="1" ht="12.95" customHeight="1" x14ac:dyDescent="0.2">
      <c r="B50" s="1944"/>
      <c r="C50" s="1945"/>
      <c r="D50" s="1945"/>
      <c r="E50" s="1946"/>
      <c r="F50" s="1946"/>
      <c r="G50" s="1947"/>
      <c r="H50" s="1947"/>
      <c r="I50" s="1947"/>
      <c r="J50" s="1949"/>
      <c r="K50" s="1949"/>
      <c r="L50" s="603" t="s">
        <v>1055</v>
      </c>
      <c r="M50" s="1438">
        <f t="shared" si="0"/>
        <v>3</v>
      </c>
      <c r="N50" s="1439" t="s">
        <v>147</v>
      </c>
      <c r="O50" s="1440">
        <v>325000</v>
      </c>
      <c r="P50" s="1948">
        <f t="shared" ref="P50:P52" si="2">O50*M50</f>
        <v>975000</v>
      </c>
    </row>
    <row r="51" spans="2:21" ht="12.95" customHeight="1" x14ac:dyDescent="0.2">
      <c r="B51" s="1944"/>
      <c r="C51" s="1945"/>
      <c r="D51" s="1945"/>
      <c r="E51" s="1946"/>
      <c r="F51" s="1946"/>
      <c r="G51" s="1947"/>
      <c r="H51" s="1947"/>
      <c r="I51" s="1947"/>
      <c r="J51" s="1949"/>
      <c r="K51" s="1949"/>
      <c r="L51" s="603" t="s">
        <v>1094</v>
      </c>
      <c r="M51" s="1438">
        <f t="shared" si="0"/>
        <v>3</v>
      </c>
      <c r="N51" s="1439" t="s">
        <v>147</v>
      </c>
      <c r="O51" s="1440">
        <v>300000</v>
      </c>
      <c r="P51" s="1948">
        <f t="shared" si="2"/>
        <v>900000</v>
      </c>
    </row>
    <row r="52" spans="2:21" ht="12.95" customHeight="1" x14ac:dyDescent="0.2">
      <c r="B52" s="1944"/>
      <c r="C52" s="1945"/>
      <c r="D52" s="1945"/>
      <c r="E52" s="1946"/>
      <c r="F52" s="1946"/>
      <c r="G52" s="1947"/>
      <c r="H52" s="1947"/>
      <c r="I52" s="1947"/>
      <c r="J52" s="1949"/>
      <c r="K52" s="1949"/>
      <c r="L52" s="1950" t="s">
        <v>1095</v>
      </c>
      <c r="M52" s="1438">
        <f>6*3</f>
        <v>18</v>
      </c>
      <c r="N52" s="1439" t="s">
        <v>147</v>
      </c>
      <c r="O52" s="1440">
        <v>250000</v>
      </c>
      <c r="P52" s="1948">
        <f t="shared" si="2"/>
        <v>4500000</v>
      </c>
    </row>
    <row r="53" spans="2:21" ht="14.45" customHeight="1" x14ac:dyDescent="0.2">
      <c r="B53" s="1944"/>
      <c r="C53" s="1945"/>
      <c r="D53" s="1945"/>
      <c r="E53" s="1946"/>
      <c r="F53" s="1946"/>
      <c r="G53" s="1947"/>
      <c r="H53" s="1947"/>
      <c r="I53" s="1947"/>
      <c r="J53" s="1949"/>
      <c r="K53" s="1949"/>
      <c r="L53" s="608" t="s">
        <v>1099</v>
      </c>
      <c r="M53" s="1442"/>
      <c r="N53" s="1439"/>
      <c r="O53" s="1440"/>
      <c r="P53" s="1948">
        <f>SUM(P54:P60)</f>
        <v>47575000</v>
      </c>
    </row>
    <row r="54" spans="2:21" s="1890" customFormat="1" ht="12.95" customHeight="1" x14ac:dyDescent="0.2">
      <c r="B54" s="1944"/>
      <c r="C54" s="1945"/>
      <c r="D54" s="1945"/>
      <c r="E54" s="1946"/>
      <c r="F54" s="1946"/>
      <c r="G54" s="1947"/>
      <c r="H54" s="1947"/>
      <c r="I54" s="1947"/>
      <c r="J54" s="1949"/>
      <c r="K54" s="1949"/>
      <c r="L54" s="603" t="s">
        <v>1100</v>
      </c>
      <c r="M54" s="1438">
        <f>2*11</f>
        <v>22</v>
      </c>
      <c r="N54" s="1439" t="s">
        <v>147</v>
      </c>
      <c r="O54" s="1440">
        <v>500000</v>
      </c>
      <c r="P54" s="1948">
        <f t="shared" ref="P54:P60" si="3">O54*M54</f>
        <v>11000000</v>
      </c>
    </row>
    <row r="55" spans="2:21" s="1890" customFormat="1" ht="12.95" customHeight="1" x14ac:dyDescent="0.2">
      <c r="B55" s="1944"/>
      <c r="C55" s="1945"/>
      <c r="D55" s="1945"/>
      <c r="E55" s="1946"/>
      <c r="F55" s="1946"/>
      <c r="G55" s="1947"/>
      <c r="H55" s="1947"/>
      <c r="I55" s="1947"/>
      <c r="J55" s="1949"/>
      <c r="K55" s="1949"/>
      <c r="L55" s="1950" t="s">
        <v>1101</v>
      </c>
      <c r="M55" s="1438">
        <f>1*11</f>
        <v>11</v>
      </c>
      <c r="N55" s="1439" t="s">
        <v>147</v>
      </c>
      <c r="O55" s="1440">
        <v>450000</v>
      </c>
      <c r="P55" s="1948">
        <f t="shared" si="3"/>
        <v>4950000</v>
      </c>
    </row>
    <row r="56" spans="2:21" ht="12.95" customHeight="1" x14ac:dyDescent="0.2">
      <c r="B56" s="1944"/>
      <c r="C56" s="1945"/>
      <c r="D56" s="1945"/>
      <c r="E56" s="1946"/>
      <c r="F56" s="1946"/>
      <c r="G56" s="1947"/>
      <c r="H56" s="1947"/>
      <c r="I56" s="1947"/>
      <c r="J56" s="1949"/>
      <c r="K56" s="1949"/>
      <c r="L56" s="1950" t="s">
        <v>1102</v>
      </c>
      <c r="M56" s="1438">
        <f t="shared" ref="M56:M59" si="4">1*11</f>
        <v>11</v>
      </c>
      <c r="N56" s="1439" t="s">
        <v>147</v>
      </c>
      <c r="O56" s="1440">
        <v>400000</v>
      </c>
      <c r="P56" s="1948">
        <f t="shared" si="3"/>
        <v>4400000</v>
      </c>
    </row>
    <row r="57" spans="2:21" ht="12.95" customHeight="1" x14ac:dyDescent="0.2">
      <c r="B57" s="1944"/>
      <c r="C57" s="1945"/>
      <c r="D57" s="1945"/>
      <c r="E57" s="1946"/>
      <c r="F57" s="1946"/>
      <c r="G57" s="1947"/>
      <c r="H57" s="1947"/>
      <c r="I57" s="1947"/>
      <c r="J57" s="1949"/>
      <c r="K57" s="1949"/>
      <c r="L57" s="603" t="s">
        <v>1103</v>
      </c>
      <c r="M57" s="1438">
        <f t="shared" si="4"/>
        <v>11</v>
      </c>
      <c r="N57" s="1439" t="s">
        <v>147</v>
      </c>
      <c r="O57" s="1440">
        <v>350000</v>
      </c>
      <c r="P57" s="1948">
        <f t="shared" si="3"/>
        <v>3850000</v>
      </c>
    </row>
    <row r="58" spans="2:21" ht="12.95" customHeight="1" x14ac:dyDescent="0.2">
      <c r="B58" s="1944"/>
      <c r="C58" s="1945"/>
      <c r="D58" s="1945"/>
      <c r="E58" s="1946"/>
      <c r="F58" s="1946"/>
      <c r="G58" s="1947"/>
      <c r="H58" s="1947"/>
      <c r="I58" s="1947"/>
      <c r="J58" s="1949"/>
      <c r="K58" s="1949"/>
      <c r="L58" s="603" t="s">
        <v>1104</v>
      </c>
      <c r="M58" s="1438">
        <f t="shared" si="4"/>
        <v>11</v>
      </c>
      <c r="N58" s="1439" t="s">
        <v>147</v>
      </c>
      <c r="O58" s="1440">
        <v>325000</v>
      </c>
      <c r="P58" s="1948">
        <f t="shared" si="3"/>
        <v>3575000</v>
      </c>
    </row>
    <row r="59" spans="2:21" s="1890" customFormat="1" ht="12.95" customHeight="1" x14ac:dyDescent="0.2">
      <c r="B59" s="1944"/>
      <c r="C59" s="1945"/>
      <c r="D59" s="1945"/>
      <c r="E59" s="1946"/>
      <c r="F59" s="1946"/>
      <c r="G59" s="1947"/>
      <c r="H59" s="1947"/>
      <c r="I59" s="1947"/>
      <c r="J59" s="1949"/>
      <c r="K59" s="1949"/>
      <c r="L59" s="603" t="s">
        <v>1105</v>
      </c>
      <c r="M59" s="1438">
        <f t="shared" si="4"/>
        <v>11</v>
      </c>
      <c r="N59" s="1439" t="s">
        <v>147</v>
      </c>
      <c r="O59" s="1440">
        <v>300000</v>
      </c>
      <c r="P59" s="1948">
        <f t="shared" si="3"/>
        <v>3300000</v>
      </c>
    </row>
    <row r="60" spans="2:21" s="1890" customFormat="1" ht="12.95" customHeight="1" x14ac:dyDescent="0.2">
      <c r="B60" s="1944"/>
      <c r="C60" s="1945"/>
      <c r="D60" s="1945"/>
      <c r="E60" s="1946"/>
      <c r="F60" s="1946"/>
      <c r="G60" s="1947"/>
      <c r="H60" s="1947"/>
      <c r="I60" s="1947"/>
      <c r="J60" s="1949"/>
      <c r="K60" s="1949"/>
      <c r="L60" s="1950" t="s">
        <v>1106</v>
      </c>
      <c r="M60" s="1438">
        <f>6*11</f>
        <v>66</v>
      </c>
      <c r="N60" s="1439" t="s">
        <v>147</v>
      </c>
      <c r="O60" s="1440">
        <v>250000</v>
      </c>
      <c r="P60" s="1948">
        <f t="shared" si="3"/>
        <v>16500000</v>
      </c>
    </row>
    <row r="61" spans="2:21" ht="12.95" customHeight="1" x14ac:dyDescent="0.2">
      <c r="B61" s="377"/>
      <c r="C61" s="378"/>
      <c r="D61" s="378"/>
      <c r="E61" s="379"/>
      <c r="F61" s="379"/>
      <c r="G61" s="380"/>
      <c r="H61" s="380"/>
      <c r="I61" s="380"/>
      <c r="J61" s="381"/>
      <c r="K61" s="381"/>
      <c r="L61" s="387"/>
      <c r="M61" s="1344"/>
      <c r="N61" s="1328"/>
      <c r="O61" s="1331"/>
      <c r="P61" s="1330"/>
    </row>
    <row r="62" spans="2:21" ht="12.95" customHeight="1" x14ac:dyDescent="0.2">
      <c r="B62" s="80">
        <v>1</v>
      </c>
      <c r="C62" s="33" t="s">
        <v>440</v>
      </c>
      <c r="D62" s="33" t="s">
        <v>142</v>
      </c>
      <c r="E62" s="222">
        <v>15</v>
      </c>
      <c r="F62" s="323" t="s">
        <v>572</v>
      </c>
      <c r="G62" s="380">
        <v>5</v>
      </c>
      <c r="H62" s="380">
        <v>2</v>
      </c>
      <c r="I62" s="380">
        <v>1</v>
      </c>
      <c r="J62" s="378" t="s">
        <v>145</v>
      </c>
      <c r="K62" s="378"/>
      <c r="L62" s="386" t="s">
        <v>176</v>
      </c>
      <c r="M62" s="1344"/>
      <c r="N62" s="1327"/>
      <c r="O62" s="1327"/>
      <c r="P62" s="1324">
        <f>P63</f>
        <v>16725000</v>
      </c>
    </row>
    <row r="63" spans="2:21" ht="12.95" customHeight="1" x14ac:dyDescent="0.2">
      <c r="B63" s="80">
        <v>1</v>
      </c>
      <c r="C63" s="33" t="s">
        <v>440</v>
      </c>
      <c r="D63" s="33" t="s">
        <v>142</v>
      </c>
      <c r="E63" s="222">
        <v>15</v>
      </c>
      <c r="F63" s="323" t="s">
        <v>572</v>
      </c>
      <c r="G63" s="380">
        <v>5</v>
      </c>
      <c r="H63" s="380">
        <v>2</v>
      </c>
      <c r="I63" s="380">
        <v>1</v>
      </c>
      <c r="J63" s="378" t="s">
        <v>145</v>
      </c>
      <c r="K63" s="378" t="s">
        <v>164</v>
      </c>
      <c r="L63" s="602" t="s">
        <v>284</v>
      </c>
      <c r="M63" s="1345"/>
      <c r="N63" s="1328"/>
      <c r="O63" s="1328"/>
      <c r="P63" s="1332">
        <f>SUM(P64:P69)</f>
        <v>16725000</v>
      </c>
      <c r="U63" s="720"/>
    </row>
    <row r="64" spans="2:21" ht="12.95" customHeight="1" x14ac:dyDescent="0.2">
      <c r="B64" s="377"/>
      <c r="C64" s="378"/>
      <c r="D64" s="378"/>
      <c r="E64" s="379"/>
      <c r="F64" s="378"/>
      <c r="G64" s="380"/>
      <c r="H64" s="380"/>
      <c r="I64" s="380"/>
      <c r="J64" s="378"/>
      <c r="K64" s="378"/>
      <c r="L64" s="437" t="s">
        <v>1107</v>
      </c>
      <c r="M64" s="1438">
        <f>5*11</f>
        <v>55</v>
      </c>
      <c r="N64" s="1328" t="s">
        <v>147</v>
      </c>
      <c r="O64" s="1333">
        <v>175000</v>
      </c>
      <c r="P64" s="1332">
        <f>O64*M64</f>
        <v>9625000</v>
      </c>
      <c r="U64" s="720"/>
    </row>
    <row r="65" spans="2:22" ht="27.6" customHeight="1" x14ac:dyDescent="0.2">
      <c r="B65" s="377"/>
      <c r="C65" s="378"/>
      <c r="D65" s="378"/>
      <c r="E65" s="379"/>
      <c r="F65" s="378"/>
      <c r="G65" s="380"/>
      <c r="H65" s="380"/>
      <c r="I65" s="380"/>
      <c r="J65" s="378"/>
      <c r="K65" s="378"/>
      <c r="L65" s="437" t="s">
        <v>1108</v>
      </c>
      <c r="M65" s="1438">
        <f>4*3</f>
        <v>12</v>
      </c>
      <c r="N65" s="1370" t="s">
        <v>147</v>
      </c>
      <c r="O65" s="1342">
        <v>175000</v>
      </c>
      <c r="P65" s="1371">
        <f>O65*M65</f>
        <v>2100000</v>
      </c>
      <c r="U65" s="725"/>
      <c r="V65" s="725"/>
    </row>
    <row r="66" spans="2:22" ht="12.95" customHeight="1" x14ac:dyDescent="0.2">
      <c r="B66" s="377"/>
      <c r="C66" s="378"/>
      <c r="D66" s="378"/>
      <c r="E66" s="379"/>
      <c r="F66" s="378"/>
      <c r="G66" s="380"/>
      <c r="H66" s="380"/>
      <c r="I66" s="380"/>
      <c r="J66" s="378"/>
      <c r="K66" s="378"/>
      <c r="L66" s="1747" t="s">
        <v>1183</v>
      </c>
      <c r="M66" s="1624">
        <v>5</v>
      </c>
      <c r="N66" s="1620" t="s">
        <v>177</v>
      </c>
      <c r="O66" s="1621">
        <v>300000</v>
      </c>
      <c r="P66" s="1948">
        <f t="shared" ref="P66:P69" si="5">O66*M66</f>
        <v>1500000</v>
      </c>
      <c r="U66" s="725"/>
      <c r="V66" s="725"/>
    </row>
    <row r="67" spans="2:22" ht="12.95" customHeight="1" x14ac:dyDescent="0.2">
      <c r="B67" s="377"/>
      <c r="C67" s="378"/>
      <c r="D67" s="378"/>
      <c r="E67" s="379"/>
      <c r="F67" s="378"/>
      <c r="G67" s="380"/>
      <c r="H67" s="380"/>
      <c r="I67" s="380"/>
      <c r="J67" s="378"/>
      <c r="K67" s="378"/>
      <c r="L67" s="1747" t="s">
        <v>1184</v>
      </c>
      <c r="M67" s="1624">
        <v>5</v>
      </c>
      <c r="N67" s="1620" t="s">
        <v>177</v>
      </c>
      <c r="O67" s="1621">
        <v>300000</v>
      </c>
      <c r="P67" s="1948">
        <f t="shared" si="5"/>
        <v>1500000</v>
      </c>
      <c r="U67" s="725"/>
      <c r="V67" s="725"/>
    </row>
    <row r="68" spans="2:22" ht="12.95" customHeight="1" x14ac:dyDescent="0.2">
      <c r="B68" s="377"/>
      <c r="C68" s="378"/>
      <c r="D68" s="378"/>
      <c r="E68" s="379"/>
      <c r="F68" s="378"/>
      <c r="G68" s="380"/>
      <c r="H68" s="380"/>
      <c r="I68" s="380"/>
      <c r="J68" s="378"/>
      <c r="K68" s="378"/>
      <c r="L68" s="1759" t="s">
        <v>1185</v>
      </c>
      <c r="M68" s="1624">
        <v>5</v>
      </c>
      <c r="N68" s="1620" t="s">
        <v>177</v>
      </c>
      <c r="O68" s="1621">
        <v>300000</v>
      </c>
      <c r="P68" s="1948">
        <f t="shared" si="5"/>
        <v>1500000</v>
      </c>
      <c r="U68" s="725"/>
      <c r="V68" s="725"/>
    </row>
    <row r="69" spans="2:22" ht="12.95" customHeight="1" x14ac:dyDescent="0.2">
      <c r="B69" s="377"/>
      <c r="C69" s="378"/>
      <c r="D69" s="378"/>
      <c r="E69" s="379"/>
      <c r="F69" s="378"/>
      <c r="G69" s="380"/>
      <c r="H69" s="380"/>
      <c r="I69" s="380"/>
      <c r="J69" s="378"/>
      <c r="K69" s="378"/>
      <c r="L69" s="1747" t="s">
        <v>1186</v>
      </c>
      <c r="M69" s="1624">
        <v>5</v>
      </c>
      <c r="N69" s="1620" t="s">
        <v>177</v>
      </c>
      <c r="O69" s="1621">
        <v>100000</v>
      </c>
      <c r="P69" s="1948">
        <f t="shared" si="5"/>
        <v>500000</v>
      </c>
      <c r="U69" s="725"/>
      <c r="V69" s="725"/>
    </row>
    <row r="70" spans="2:22" ht="12.95" customHeight="1" x14ac:dyDescent="0.2">
      <c r="B70" s="377"/>
      <c r="C70" s="378"/>
      <c r="D70" s="378"/>
      <c r="E70" s="379"/>
      <c r="F70" s="379"/>
      <c r="G70" s="380"/>
      <c r="H70" s="380"/>
      <c r="I70" s="380"/>
      <c r="J70" s="378"/>
      <c r="K70" s="378"/>
      <c r="L70" s="602"/>
      <c r="M70" s="1345"/>
      <c r="N70" s="1328"/>
      <c r="O70" s="1333"/>
      <c r="P70" s="1332"/>
    </row>
    <row r="71" spans="2:22" ht="12.95" customHeight="1" x14ac:dyDescent="0.2">
      <c r="B71" s="80">
        <v>1</v>
      </c>
      <c r="C71" s="33" t="s">
        <v>440</v>
      </c>
      <c r="D71" s="33" t="s">
        <v>142</v>
      </c>
      <c r="E71" s="222">
        <v>15</v>
      </c>
      <c r="F71" s="323" t="s">
        <v>572</v>
      </c>
      <c r="G71" s="380">
        <v>5</v>
      </c>
      <c r="H71" s="380">
        <v>2</v>
      </c>
      <c r="I71" s="380">
        <v>2</v>
      </c>
      <c r="J71" s="380"/>
      <c r="K71" s="380"/>
      <c r="L71" s="388" t="s">
        <v>120</v>
      </c>
      <c r="M71" s="1346"/>
      <c r="N71" s="1328"/>
      <c r="O71" s="1328"/>
      <c r="P71" s="1334">
        <f>P72+P87+P108+P116</f>
        <v>178954930</v>
      </c>
    </row>
    <row r="72" spans="2:22" ht="12.95" customHeight="1" x14ac:dyDescent="0.2">
      <c r="B72" s="80">
        <v>1</v>
      </c>
      <c r="C72" s="33" t="s">
        <v>440</v>
      </c>
      <c r="D72" s="33" t="s">
        <v>142</v>
      </c>
      <c r="E72" s="222">
        <v>15</v>
      </c>
      <c r="F72" s="323" t="s">
        <v>572</v>
      </c>
      <c r="G72" s="380">
        <v>5</v>
      </c>
      <c r="H72" s="380">
        <v>2</v>
      </c>
      <c r="I72" s="380">
        <v>2</v>
      </c>
      <c r="J72" s="378" t="s">
        <v>142</v>
      </c>
      <c r="K72" s="380"/>
      <c r="L72" s="389" t="s">
        <v>109</v>
      </c>
      <c r="M72" s="1346"/>
      <c r="N72" s="1335"/>
      <c r="O72" s="1335"/>
      <c r="P72" s="1334">
        <f>SUM(P73)</f>
        <v>439930</v>
      </c>
    </row>
    <row r="73" spans="2:22" ht="12.95" customHeight="1" x14ac:dyDescent="0.2">
      <c r="B73" s="80">
        <v>1</v>
      </c>
      <c r="C73" s="33" t="s">
        <v>440</v>
      </c>
      <c r="D73" s="33" t="s">
        <v>142</v>
      </c>
      <c r="E73" s="222">
        <v>15</v>
      </c>
      <c r="F73" s="323" t="s">
        <v>572</v>
      </c>
      <c r="G73" s="380">
        <v>5</v>
      </c>
      <c r="H73" s="380">
        <v>2</v>
      </c>
      <c r="I73" s="380">
        <v>2</v>
      </c>
      <c r="J73" s="378" t="s">
        <v>142</v>
      </c>
      <c r="K73" s="378" t="s">
        <v>142</v>
      </c>
      <c r="L73" s="389" t="s">
        <v>127</v>
      </c>
      <c r="M73" s="1346"/>
      <c r="N73" s="1328"/>
      <c r="O73" s="1328"/>
      <c r="P73" s="1334">
        <f>SUM(P74:P85)-3690</f>
        <v>439930</v>
      </c>
    </row>
    <row r="74" spans="2:22" s="1890" customFormat="1" ht="12.95" customHeight="1" x14ac:dyDescent="0.2">
      <c r="B74" s="1944"/>
      <c r="C74" s="1945"/>
      <c r="D74" s="1945"/>
      <c r="E74" s="1946"/>
      <c r="F74" s="1946"/>
      <c r="G74" s="1947"/>
      <c r="H74" s="1947"/>
      <c r="I74" s="1947"/>
      <c r="J74" s="1945"/>
      <c r="K74" s="1945"/>
      <c r="L74" s="1951" t="s">
        <v>1187</v>
      </c>
      <c r="M74" s="1999">
        <v>1</v>
      </c>
      <c r="N74" s="1439" t="s">
        <v>114</v>
      </c>
      <c r="O74" s="1373">
        <v>65000</v>
      </c>
      <c r="P74" s="1338">
        <f t="shared" ref="P74:P85" si="6">O74*M74</f>
        <v>65000</v>
      </c>
      <c r="Q74" s="1895"/>
    </row>
    <row r="75" spans="2:22" s="1890" customFormat="1" ht="12.95" customHeight="1" x14ac:dyDescent="0.2">
      <c r="B75" s="1944"/>
      <c r="C75" s="1945"/>
      <c r="D75" s="1945"/>
      <c r="E75" s="1946"/>
      <c r="F75" s="1946"/>
      <c r="G75" s="1947"/>
      <c r="H75" s="1947"/>
      <c r="I75" s="1947"/>
      <c r="J75" s="1945"/>
      <c r="K75" s="1945"/>
      <c r="L75" s="1951" t="s">
        <v>1188</v>
      </c>
      <c r="M75" s="1999">
        <v>1</v>
      </c>
      <c r="N75" s="1439" t="s">
        <v>114</v>
      </c>
      <c r="O75" s="1373">
        <v>60000</v>
      </c>
      <c r="P75" s="1338">
        <f t="shared" si="6"/>
        <v>60000</v>
      </c>
      <c r="Q75" s="1895"/>
    </row>
    <row r="76" spans="2:22" s="1890" customFormat="1" ht="12.95" customHeight="1" x14ac:dyDescent="0.2">
      <c r="B76" s="1944"/>
      <c r="C76" s="1945"/>
      <c r="D76" s="1945"/>
      <c r="E76" s="1946"/>
      <c r="F76" s="1946"/>
      <c r="G76" s="1947"/>
      <c r="H76" s="1947"/>
      <c r="I76" s="1947"/>
      <c r="J76" s="1945"/>
      <c r="K76" s="1945"/>
      <c r="L76" s="1951" t="s">
        <v>1145</v>
      </c>
      <c r="M76" s="1999">
        <v>1</v>
      </c>
      <c r="N76" s="1439" t="s">
        <v>771</v>
      </c>
      <c r="O76" s="1373">
        <v>28000</v>
      </c>
      <c r="P76" s="1338">
        <f t="shared" si="6"/>
        <v>28000</v>
      </c>
      <c r="Q76" s="1895"/>
    </row>
    <row r="77" spans="2:22" s="1890" customFormat="1" ht="12.95" customHeight="1" x14ac:dyDescent="0.2">
      <c r="B77" s="1944"/>
      <c r="C77" s="1945"/>
      <c r="D77" s="1945"/>
      <c r="E77" s="1946"/>
      <c r="F77" s="1946"/>
      <c r="G77" s="1947"/>
      <c r="H77" s="1947"/>
      <c r="I77" s="1947"/>
      <c r="J77" s="1945"/>
      <c r="K77" s="1945"/>
      <c r="L77" s="1951" t="s">
        <v>1146</v>
      </c>
      <c r="M77" s="1999">
        <v>1</v>
      </c>
      <c r="N77" s="1439" t="s">
        <v>771</v>
      </c>
      <c r="O77" s="1373">
        <v>67000</v>
      </c>
      <c r="P77" s="1338">
        <f t="shared" si="6"/>
        <v>67000</v>
      </c>
      <c r="Q77" s="1895"/>
    </row>
    <row r="78" spans="2:22" s="1890" customFormat="1" ht="12.95" customHeight="1" x14ac:dyDescent="0.2">
      <c r="B78" s="1944"/>
      <c r="C78" s="1945"/>
      <c r="D78" s="1945"/>
      <c r="E78" s="1946"/>
      <c r="F78" s="1946"/>
      <c r="G78" s="1947"/>
      <c r="H78" s="1947"/>
      <c r="I78" s="1947"/>
      <c r="J78" s="1945"/>
      <c r="K78" s="1945"/>
      <c r="L78" s="1951" t="s">
        <v>1148</v>
      </c>
      <c r="M78" s="1999">
        <v>1</v>
      </c>
      <c r="N78" s="1439" t="s">
        <v>771</v>
      </c>
      <c r="O78" s="1373">
        <v>16000</v>
      </c>
      <c r="P78" s="1338">
        <f>O78*M78</f>
        <v>16000</v>
      </c>
      <c r="Q78" s="1895"/>
    </row>
    <row r="79" spans="2:22" s="1890" customFormat="1" ht="12.95" customHeight="1" x14ac:dyDescent="0.2">
      <c r="B79" s="1944"/>
      <c r="C79" s="1945"/>
      <c r="D79" s="1945"/>
      <c r="E79" s="1946"/>
      <c r="F79" s="1946"/>
      <c r="G79" s="1947"/>
      <c r="H79" s="1947"/>
      <c r="I79" s="1947"/>
      <c r="J79" s="1945"/>
      <c r="K79" s="1945"/>
      <c r="L79" s="1951" t="s">
        <v>1147</v>
      </c>
      <c r="M79" s="1999">
        <v>1</v>
      </c>
      <c r="N79" s="1439" t="s">
        <v>771</v>
      </c>
      <c r="O79" s="1373">
        <v>25000</v>
      </c>
      <c r="P79" s="1338">
        <f t="shared" si="6"/>
        <v>25000</v>
      </c>
      <c r="Q79" s="1895"/>
    </row>
    <row r="80" spans="2:22" s="1890" customFormat="1" ht="12.95" customHeight="1" x14ac:dyDescent="0.2">
      <c r="B80" s="1944"/>
      <c r="C80" s="1945"/>
      <c r="D80" s="1945"/>
      <c r="E80" s="1946"/>
      <c r="F80" s="1946"/>
      <c r="G80" s="1947"/>
      <c r="H80" s="1947"/>
      <c r="I80" s="1947"/>
      <c r="J80" s="1945"/>
      <c r="K80" s="1945"/>
      <c r="L80" s="1951" t="s">
        <v>1149</v>
      </c>
      <c r="M80" s="1999">
        <v>1</v>
      </c>
      <c r="N80" s="1439" t="s">
        <v>771</v>
      </c>
      <c r="O80" s="1373">
        <v>13000</v>
      </c>
      <c r="P80" s="1338">
        <f>O80*M80</f>
        <v>13000</v>
      </c>
      <c r="Q80" s="1895"/>
    </row>
    <row r="81" spans="2:17" s="1890" customFormat="1" ht="12.95" customHeight="1" x14ac:dyDescent="0.2">
      <c r="B81" s="1944"/>
      <c r="C81" s="1945"/>
      <c r="D81" s="1945"/>
      <c r="E81" s="1946"/>
      <c r="F81" s="1946"/>
      <c r="G81" s="1947"/>
      <c r="H81" s="1947"/>
      <c r="I81" s="1947"/>
      <c r="J81" s="1945"/>
      <c r="K81" s="1945"/>
      <c r="L81" s="1951" t="s">
        <v>1189</v>
      </c>
      <c r="M81" s="1999">
        <v>1</v>
      </c>
      <c r="N81" s="1439" t="s">
        <v>495</v>
      </c>
      <c r="O81" s="1373">
        <v>11000</v>
      </c>
      <c r="P81" s="1338">
        <f t="shared" si="6"/>
        <v>11000</v>
      </c>
      <c r="Q81" s="1895"/>
    </row>
    <row r="82" spans="2:17" s="1890" customFormat="1" ht="12.95" customHeight="1" x14ac:dyDescent="0.2">
      <c r="B82" s="1944"/>
      <c r="C82" s="1945"/>
      <c r="D82" s="1945"/>
      <c r="E82" s="1946"/>
      <c r="F82" s="1946"/>
      <c r="G82" s="1947"/>
      <c r="H82" s="1947"/>
      <c r="I82" s="1947"/>
      <c r="J82" s="1945"/>
      <c r="K82" s="1945"/>
      <c r="L82" s="1951" t="s">
        <v>1220</v>
      </c>
      <c r="M82" s="1999">
        <v>1</v>
      </c>
      <c r="N82" s="1439" t="s">
        <v>771</v>
      </c>
      <c r="O82" s="1373">
        <v>30620</v>
      </c>
      <c r="P82" s="1338">
        <f t="shared" si="6"/>
        <v>30620</v>
      </c>
      <c r="Q82" s="1895"/>
    </row>
    <row r="83" spans="2:17" s="1890" customFormat="1" ht="12.95" customHeight="1" x14ac:dyDescent="0.2">
      <c r="B83" s="1944"/>
      <c r="C83" s="1945"/>
      <c r="D83" s="1945"/>
      <c r="E83" s="1946"/>
      <c r="F83" s="1946"/>
      <c r="G83" s="1947"/>
      <c r="H83" s="1947"/>
      <c r="I83" s="1947"/>
      <c r="J83" s="1945"/>
      <c r="K83" s="1945"/>
      <c r="L83" s="1951" t="s">
        <v>1221</v>
      </c>
      <c r="M83" s="1999">
        <v>1</v>
      </c>
      <c r="N83" s="1439" t="s">
        <v>772</v>
      </c>
      <c r="O83" s="1373">
        <v>128000</v>
      </c>
      <c r="P83" s="1338">
        <f t="shared" si="6"/>
        <v>128000</v>
      </c>
      <c r="Q83" s="1895"/>
    </row>
    <row r="84" spans="2:17" s="1890" customFormat="1" ht="12.95" customHeight="1" x14ac:dyDescent="0.2">
      <c r="B84" s="1944"/>
      <c r="C84" s="1945"/>
      <c r="D84" s="1945"/>
      <c r="E84" s="1946"/>
      <c r="F84" s="1946"/>
      <c r="G84" s="1947"/>
      <c r="H84" s="1947"/>
      <c r="I84" s="1947"/>
      <c r="J84" s="1945"/>
      <c r="K84" s="1945"/>
      <c r="L84" s="1951" t="s">
        <v>1190</v>
      </c>
      <c r="M84" s="1999">
        <v>0</v>
      </c>
      <c r="N84" s="1439" t="s">
        <v>604</v>
      </c>
      <c r="O84" s="1373">
        <v>31000</v>
      </c>
      <c r="P84" s="1338">
        <f t="shared" si="6"/>
        <v>0</v>
      </c>
      <c r="Q84" s="1895"/>
    </row>
    <row r="85" spans="2:17" s="1890" customFormat="1" ht="12.95" customHeight="1" x14ac:dyDescent="0.2">
      <c r="B85" s="1944"/>
      <c r="C85" s="1945"/>
      <c r="D85" s="1945"/>
      <c r="E85" s="1946"/>
      <c r="F85" s="1946"/>
      <c r="G85" s="1947"/>
      <c r="H85" s="1947"/>
      <c r="I85" s="1947"/>
      <c r="J85" s="1945"/>
      <c r="K85" s="1945"/>
      <c r="L85" s="1951" t="s">
        <v>1191</v>
      </c>
      <c r="M85" s="1999">
        <v>0</v>
      </c>
      <c r="N85" s="1439" t="s">
        <v>495</v>
      </c>
      <c r="O85" s="1373">
        <v>7250</v>
      </c>
      <c r="P85" s="1338">
        <f t="shared" si="6"/>
        <v>0</v>
      </c>
      <c r="Q85" s="1895"/>
    </row>
    <row r="86" spans="2:17" ht="12.95" customHeight="1" x14ac:dyDescent="0.2">
      <c r="B86" s="377"/>
      <c r="C86" s="378"/>
      <c r="D86" s="378"/>
      <c r="E86" s="379"/>
      <c r="F86" s="378"/>
      <c r="G86" s="380"/>
      <c r="H86" s="380"/>
      <c r="I86" s="380"/>
      <c r="J86" s="380"/>
      <c r="K86" s="378"/>
      <c r="L86" s="410"/>
      <c r="M86" s="1347"/>
      <c r="N86" s="1326"/>
      <c r="O86" s="577"/>
      <c r="P86" s="1336"/>
      <c r="Q86" s="925"/>
    </row>
    <row r="87" spans="2:17" ht="12.95" customHeight="1" x14ac:dyDescent="0.2">
      <c r="B87" s="80">
        <v>1</v>
      </c>
      <c r="C87" s="33" t="s">
        <v>440</v>
      </c>
      <c r="D87" s="33" t="s">
        <v>142</v>
      </c>
      <c r="E87" s="222">
        <v>15</v>
      </c>
      <c r="F87" s="323" t="s">
        <v>572</v>
      </c>
      <c r="G87" s="46">
        <v>5</v>
      </c>
      <c r="H87" s="46">
        <v>2</v>
      </c>
      <c r="I87" s="46">
        <v>2</v>
      </c>
      <c r="J87" s="33" t="s">
        <v>164</v>
      </c>
      <c r="K87" s="1079"/>
      <c r="L87" s="143" t="s">
        <v>112</v>
      </c>
      <c r="M87" s="1348"/>
      <c r="N87" s="1238"/>
      <c r="O87" s="1239"/>
      <c r="P87" s="269">
        <f>SUM(P88)</f>
        <v>165000000</v>
      </c>
      <c r="Q87" s="925"/>
    </row>
    <row r="88" spans="2:17" ht="12.95" customHeight="1" x14ac:dyDescent="0.2">
      <c r="B88" s="80">
        <v>1</v>
      </c>
      <c r="C88" s="33" t="s">
        <v>440</v>
      </c>
      <c r="D88" s="33" t="s">
        <v>142</v>
      </c>
      <c r="E88" s="222">
        <v>15</v>
      </c>
      <c r="F88" s="323" t="s">
        <v>572</v>
      </c>
      <c r="G88" s="380">
        <v>5</v>
      </c>
      <c r="H88" s="380">
        <v>2</v>
      </c>
      <c r="I88" s="380">
        <v>2</v>
      </c>
      <c r="J88" s="378" t="s">
        <v>164</v>
      </c>
      <c r="K88" s="380">
        <v>27</v>
      </c>
      <c r="L88" s="390" t="s">
        <v>587</v>
      </c>
      <c r="M88" s="1346"/>
      <c r="N88" s="1328"/>
      <c r="O88" s="1333"/>
      <c r="P88" s="1332">
        <f>SUM(P89+P95+P98+P101+P92+P103+P105)</f>
        <v>165000000</v>
      </c>
      <c r="Q88" s="925"/>
    </row>
    <row r="89" spans="2:17" ht="12.95" customHeight="1" x14ac:dyDescent="0.2">
      <c r="B89" s="208"/>
      <c r="C89" s="68"/>
      <c r="D89" s="68"/>
      <c r="E89" s="1520"/>
      <c r="F89" s="1521"/>
      <c r="G89" s="380"/>
      <c r="H89" s="380"/>
      <c r="I89" s="380"/>
      <c r="J89" s="378"/>
      <c r="K89" s="380"/>
      <c r="L89" s="624" t="s">
        <v>1110</v>
      </c>
      <c r="M89" s="1518"/>
      <c r="N89" s="1953"/>
      <c r="O89" s="1954"/>
      <c r="P89" s="1332">
        <f>SUM(P90:P91)</f>
        <v>165000000</v>
      </c>
      <c r="Q89" s="925"/>
    </row>
    <row r="90" spans="2:17" ht="15" customHeight="1" x14ac:dyDescent="0.2">
      <c r="B90" s="208"/>
      <c r="C90" s="68"/>
      <c r="D90" s="68"/>
      <c r="E90" s="1520"/>
      <c r="F90" s="1521"/>
      <c r="G90" s="380"/>
      <c r="H90" s="380"/>
      <c r="I90" s="380"/>
      <c r="J90" s="378"/>
      <c r="K90" s="380"/>
      <c r="L90" s="2001" t="s">
        <v>1121</v>
      </c>
      <c r="M90" s="1438">
        <f>2*12</f>
        <v>24</v>
      </c>
      <c r="N90" s="265" t="s">
        <v>147</v>
      </c>
      <c r="O90" s="1492">
        <v>5000000</v>
      </c>
      <c r="P90" s="1336">
        <f t="shared" ref="P90:P93" si="7">SUM(O90*M90)</f>
        <v>120000000</v>
      </c>
      <c r="Q90" s="925"/>
    </row>
    <row r="91" spans="2:17" ht="24" customHeight="1" x14ac:dyDescent="0.2">
      <c r="B91" s="208"/>
      <c r="C91" s="68"/>
      <c r="D91" s="68"/>
      <c r="E91" s="1520"/>
      <c r="F91" s="1521"/>
      <c r="G91" s="380"/>
      <c r="H91" s="380"/>
      <c r="I91" s="380"/>
      <c r="J91" s="378"/>
      <c r="K91" s="380"/>
      <c r="L91" s="624" t="s">
        <v>1109</v>
      </c>
      <c r="M91" s="1438">
        <f>3*3</f>
        <v>9</v>
      </c>
      <c r="N91" s="362" t="s">
        <v>147</v>
      </c>
      <c r="O91" s="2002">
        <v>5000000</v>
      </c>
      <c r="P91" s="2003">
        <f t="shared" si="7"/>
        <v>45000000</v>
      </c>
      <c r="Q91" s="925"/>
    </row>
    <row r="92" spans="2:17" ht="24" customHeight="1" x14ac:dyDescent="0.2">
      <c r="B92" s="208"/>
      <c r="C92" s="68"/>
      <c r="D92" s="68"/>
      <c r="E92" s="1520"/>
      <c r="F92" s="1521"/>
      <c r="G92" s="380"/>
      <c r="H92" s="380"/>
      <c r="I92" s="380"/>
      <c r="J92" s="378"/>
      <c r="K92" s="380"/>
      <c r="L92" s="624" t="s">
        <v>1111</v>
      </c>
      <c r="M92" s="1395"/>
      <c r="N92" s="362"/>
      <c r="O92" s="2002"/>
      <c r="P92" s="1371">
        <f>SUM(P93:P94)</f>
        <v>0</v>
      </c>
      <c r="Q92" s="925"/>
    </row>
    <row r="93" spans="2:17" ht="12.95" customHeight="1" x14ac:dyDescent="0.2">
      <c r="B93" s="208"/>
      <c r="C93" s="68"/>
      <c r="D93" s="68"/>
      <c r="E93" s="1520"/>
      <c r="F93" s="1521"/>
      <c r="G93" s="380"/>
      <c r="H93" s="380"/>
      <c r="I93" s="380"/>
      <c r="J93" s="378"/>
      <c r="K93" s="380"/>
      <c r="L93" s="624" t="s">
        <v>1222</v>
      </c>
      <c r="M93" s="1395">
        <v>0</v>
      </c>
      <c r="N93" s="362" t="s">
        <v>177</v>
      </c>
      <c r="O93" s="2002">
        <v>11500000</v>
      </c>
      <c r="P93" s="2003">
        <f t="shared" si="7"/>
        <v>0</v>
      </c>
      <c r="Q93" s="925"/>
    </row>
    <row r="94" spans="2:17" ht="15" customHeight="1" x14ac:dyDescent="0.2">
      <c r="B94" s="377"/>
      <c r="C94" s="378"/>
      <c r="D94" s="378"/>
      <c r="E94" s="379"/>
      <c r="F94" s="378"/>
      <c r="G94" s="380"/>
      <c r="H94" s="380"/>
      <c r="I94" s="380"/>
      <c r="J94" s="380"/>
      <c r="K94" s="378"/>
      <c r="L94" s="624" t="s">
        <v>1192</v>
      </c>
      <c r="M94" s="1395">
        <v>0</v>
      </c>
      <c r="N94" s="362" t="s">
        <v>177</v>
      </c>
      <c r="O94" s="2002">
        <v>500000</v>
      </c>
      <c r="P94" s="2003">
        <f>SUM(O94*M94)</f>
        <v>0</v>
      </c>
      <c r="Q94" s="925"/>
    </row>
    <row r="95" spans="2:17" ht="14.1" customHeight="1" x14ac:dyDescent="0.2">
      <c r="B95" s="208"/>
      <c r="C95" s="68"/>
      <c r="D95" s="68"/>
      <c r="E95" s="494"/>
      <c r="F95" s="495"/>
      <c r="G95" s="496"/>
      <c r="H95" s="496"/>
      <c r="I95" s="496"/>
      <c r="J95" s="373"/>
      <c r="K95" s="68"/>
      <c r="L95" s="1961" t="s">
        <v>1193</v>
      </c>
      <c r="M95" s="1346"/>
      <c r="N95" s="1328"/>
      <c r="O95" s="1333"/>
      <c r="P95" s="1371">
        <f>SUM(P96:P97)</f>
        <v>0</v>
      </c>
      <c r="Q95" s="925"/>
    </row>
    <row r="96" spans="2:17" ht="12.95" customHeight="1" x14ac:dyDescent="0.2">
      <c r="B96" s="208"/>
      <c r="C96" s="68"/>
      <c r="D96" s="68"/>
      <c r="E96" s="494"/>
      <c r="F96" s="495"/>
      <c r="G96" s="496"/>
      <c r="H96" s="496"/>
      <c r="I96" s="496"/>
      <c r="J96" s="373"/>
      <c r="K96" s="68"/>
      <c r="L96" s="2001" t="s">
        <v>1223</v>
      </c>
      <c r="M96" s="1395">
        <v>0</v>
      </c>
      <c r="N96" s="265" t="s">
        <v>177</v>
      </c>
      <c r="O96" s="1492">
        <v>11500000</v>
      </c>
      <c r="P96" s="1336">
        <f t="shared" ref="P96:P97" si="8">SUM(O96*M96)</f>
        <v>0</v>
      </c>
      <c r="Q96" s="925"/>
    </row>
    <row r="97" spans="2:17" ht="12.95" customHeight="1" x14ac:dyDescent="0.2">
      <c r="B97" s="208"/>
      <c r="C97" s="68"/>
      <c r="D97" s="68"/>
      <c r="E97" s="494"/>
      <c r="F97" s="495"/>
      <c r="G97" s="496"/>
      <c r="H97" s="496"/>
      <c r="I97" s="496"/>
      <c r="J97" s="373"/>
      <c r="K97" s="68"/>
      <c r="L97" s="624" t="s">
        <v>1194</v>
      </c>
      <c r="M97" s="1395">
        <v>0</v>
      </c>
      <c r="N97" s="362" t="s">
        <v>177</v>
      </c>
      <c r="O97" s="2002">
        <v>500000</v>
      </c>
      <c r="P97" s="2003">
        <f t="shared" si="8"/>
        <v>0</v>
      </c>
      <c r="Q97" s="925"/>
    </row>
    <row r="98" spans="2:17" ht="12.95" customHeight="1" x14ac:dyDescent="0.2">
      <c r="B98" s="208"/>
      <c r="C98" s="68"/>
      <c r="D98" s="68"/>
      <c r="E98" s="494"/>
      <c r="F98" s="495"/>
      <c r="G98" s="496"/>
      <c r="H98" s="496"/>
      <c r="I98" s="496"/>
      <c r="J98" s="373"/>
      <c r="K98" s="68"/>
      <c r="L98" s="1961" t="s">
        <v>1085</v>
      </c>
      <c r="M98" s="1346"/>
      <c r="N98" s="1328"/>
      <c r="O98" s="1333"/>
      <c r="P98" s="1371">
        <f>SUM(P99:P100)</f>
        <v>0</v>
      </c>
      <c r="Q98" s="925"/>
    </row>
    <row r="99" spans="2:17" ht="15" customHeight="1" x14ac:dyDescent="0.2">
      <c r="B99" s="208"/>
      <c r="C99" s="68"/>
      <c r="D99" s="68"/>
      <c r="E99" s="494"/>
      <c r="F99" s="495"/>
      <c r="G99" s="496"/>
      <c r="H99" s="496"/>
      <c r="I99" s="496"/>
      <c r="J99" s="373"/>
      <c r="K99" s="68"/>
      <c r="L99" s="2001" t="s">
        <v>1223</v>
      </c>
      <c r="M99" s="1395">
        <v>0</v>
      </c>
      <c r="N99" s="265" t="s">
        <v>177</v>
      </c>
      <c r="O99" s="1492">
        <v>11500000</v>
      </c>
      <c r="P99" s="1336">
        <f t="shared" ref="P99:P100" si="9">SUM(O99*M99)</f>
        <v>0</v>
      </c>
      <c r="Q99" s="925"/>
    </row>
    <row r="100" spans="2:17" ht="12.95" customHeight="1" x14ac:dyDescent="0.2">
      <c r="B100" s="208"/>
      <c r="C100" s="68"/>
      <c r="D100" s="68"/>
      <c r="E100" s="494"/>
      <c r="F100" s="495"/>
      <c r="G100" s="496"/>
      <c r="H100" s="496"/>
      <c r="I100" s="496"/>
      <c r="J100" s="373"/>
      <c r="K100" s="68"/>
      <c r="L100" s="624" t="s">
        <v>1195</v>
      </c>
      <c r="M100" s="1395">
        <v>0</v>
      </c>
      <c r="N100" s="362" t="s">
        <v>177</v>
      </c>
      <c r="O100" s="2002">
        <v>500000</v>
      </c>
      <c r="P100" s="2003">
        <f t="shared" si="9"/>
        <v>0</v>
      </c>
      <c r="Q100" s="925"/>
    </row>
    <row r="101" spans="2:17" ht="12.95" customHeight="1" x14ac:dyDescent="0.2">
      <c r="B101" s="208"/>
      <c r="C101" s="68"/>
      <c r="D101" s="68"/>
      <c r="E101" s="494"/>
      <c r="F101" s="495"/>
      <c r="G101" s="496"/>
      <c r="H101" s="496"/>
      <c r="I101" s="496"/>
      <c r="J101" s="373"/>
      <c r="K101" s="68"/>
      <c r="L101" s="390" t="s">
        <v>1196</v>
      </c>
      <c r="M101" s="1346"/>
      <c r="N101" s="1328"/>
      <c r="O101" s="1333"/>
      <c r="P101" s="1371">
        <f>SUM(P102:P102)</f>
        <v>0</v>
      </c>
      <c r="Q101" s="925"/>
    </row>
    <row r="102" spans="2:17" ht="12.95" customHeight="1" x14ac:dyDescent="0.2">
      <c r="B102" s="208"/>
      <c r="C102" s="68"/>
      <c r="D102" s="68"/>
      <c r="E102" s="494"/>
      <c r="F102" s="495"/>
      <c r="G102" s="496"/>
      <c r="H102" s="496"/>
      <c r="I102" s="496"/>
      <c r="J102" s="373"/>
      <c r="K102" s="68"/>
      <c r="L102" s="624" t="s">
        <v>1197</v>
      </c>
      <c r="M102" s="1395">
        <v>0</v>
      </c>
      <c r="N102" s="362" t="s">
        <v>177</v>
      </c>
      <c r="O102" s="2002">
        <v>500000</v>
      </c>
      <c r="P102" s="2003">
        <f t="shared" ref="P102" si="10">SUM(O102*M102)</f>
        <v>0</v>
      </c>
      <c r="Q102" s="925"/>
    </row>
    <row r="103" spans="2:17" ht="12.95" customHeight="1" x14ac:dyDescent="0.2">
      <c r="B103" s="208"/>
      <c r="C103" s="68"/>
      <c r="D103" s="68"/>
      <c r="E103" s="494"/>
      <c r="F103" s="495"/>
      <c r="G103" s="496"/>
      <c r="H103" s="496"/>
      <c r="I103" s="496"/>
      <c r="J103" s="373"/>
      <c r="K103" s="68"/>
      <c r="L103" s="390" t="s">
        <v>1224</v>
      </c>
      <c r="M103" s="1346"/>
      <c r="N103" s="1328"/>
      <c r="O103" s="1333"/>
      <c r="P103" s="1371">
        <f>SUM(P104:P104)</f>
        <v>0</v>
      </c>
      <c r="Q103" s="925"/>
    </row>
    <row r="104" spans="2:17" ht="12.95" customHeight="1" x14ac:dyDescent="0.2">
      <c r="B104" s="208"/>
      <c r="C104" s="68"/>
      <c r="D104" s="68"/>
      <c r="E104" s="494"/>
      <c r="F104" s="495"/>
      <c r="G104" s="496"/>
      <c r="H104" s="496"/>
      <c r="I104" s="496"/>
      <c r="J104" s="373"/>
      <c r="K104" s="68"/>
      <c r="L104" s="624" t="s">
        <v>1197</v>
      </c>
      <c r="M104" s="1395">
        <v>0</v>
      </c>
      <c r="N104" s="362" t="s">
        <v>177</v>
      </c>
      <c r="O104" s="2002">
        <v>500000</v>
      </c>
      <c r="P104" s="2003">
        <f t="shared" ref="P104" si="11">SUM(O104*M104)</f>
        <v>0</v>
      </c>
      <c r="Q104" s="925"/>
    </row>
    <row r="105" spans="2:17" ht="12.95" customHeight="1" x14ac:dyDescent="0.2">
      <c r="B105" s="208"/>
      <c r="C105" s="68"/>
      <c r="D105" s="68"/>
      <c r="E105" s="494"/>
      <c r="F105" s="495"/>
      <c r="G105" s="496"/>
      <c r="H105" s="496"/>
      <c r="I105" s="496"/>
      <c r="J105" s="373"/>
      <c r="K105" s="68"/>
      <c r="L105" s="390" t="s">
        <v>1198</v>
      </c>
      <c r="M105" s="1346"/>
      <c r="N105" s="1328"/>
      <c r="O105" s="1333"/>
      <c r="P105" s="1371">
        <f>SUM(P106:P106)</f>
        <v>0</v>
      </c>
      <c r="Q105" s="925"/>
    </row>
    <row r="106" spans="2:17" ht="12.95" customHeight="1" x14ac:dyDescent="0.2">
      <c r="B106" s="208"/>
      <c r="C106" s="68"/>
      <c r="D106" s="68"/>
      <c r="E106" s="494"/>
      <c r="F106" s="495"/>
      <c r="G106" s="496"/>
      <c r="H106" s="496"/>
      <c r="I106" s="496"/>
      <c r="J106" s="373"/>
      <c r="K106" s="68"/>
      <c r="L106" s="624" t="s">
        <v>1225</v>
      </c>
      <c r="M106" s="1395">
        <v>0</v>
      </c>
      <c r="N106" s="362" t="s">
        <v>177</v>
      </c>
      <c r="O106" s="2002">
        <v>300000</v>
      </c>
      <c r="P106" s="2003">
        <f t="shared" ref="P106" si="12">SUM(O106*M106)</f>
        <v>0</v>
      </c>
      <c r="Q106" s="925"/>
    </row>
    <row r="107" spans="2:17" ht="12.95" customHeight="1" x14ac:dyDescent="0.2">
      <c r="B107" s="208"/>
      <c r="C107" s="68"/>
      <c r="D107" s="68"/>
      <c r="E107" s="494"/>
      <c r="F107" s="495"/>
      <c r="G107" s="496"/>
      <c r="H107" s="496"/>
      <c r="I107" s="496"/>
      <c r="J107" s="373"/>
      <c r="K107" s="68"/>
      <c r="L107" s="497"/>
      <c r="M107" s="1349"/>
      <c r="N107" s="1339"/>
      <c r="O107" s="1340"/>
      <c r="P107" s="1341"/>
      <c r="Q107" s="925"/>
    </row>
    <row r="108" spans="2:17" ht="12.95" customHeight="1" x14ac:dyDescent="0.2">
      <c r="B108" s="80">
        <v>1</v>
      </c>
      <c r="C108" s="33" t="s">
        <v>440</v>
      </c>
      <c r="D108" s="33" t="s">
        <v>142</v>
      </c>
      <c r="E108" s="222">
        <v>15</v>
      </c>
      <c r="F108" s="323" t="s">
        <v>572</v>
      </c>
      <c r="G108" s="46">
        <v>5</v>
      </c>
      <c r="H108" s="46">
        <v>2</v>
      </c>
      <c r="I108" s="46">
        <v>2</v>
      </c>
      <c r="J108" s="33" t="s">
        <v>144</v>
      </c>
      <c r="K108" s="1079"/>
      <c r="L108" s="1962" t="s">
        <v>115</v>
      </c>
      <c r="M108" s="1348"/>
      <c r="N108" s="1238"/>
      <c r="O108" s="1239"/>
      <c r="P108" s="269">
        <f>SUM(P109+P113)</f>
        <v>765000</v>
      </c>
    </row>
    <row r="109" spans="2:17" ht="12.95" customHeight="1" x14ac:dyDescent="0.2">
      <c r="B109" s="80">
        <v>1</v>
      </c>
      <c r="C109" s="33" t="s">
        <v>440</v>
      </c>
      <c r="D109" s="33" t="s">
        <v>142</v>
      </c>
      <c r="E109" s="222">
        <v>15</v>
      </c>
      <c r="F109" s="323" t="s">
        <v>572</v>
      </c>
      <c r="G109" s="46">
        <v>5</v>
      </c>
      <c r="H109" s="46">
        <v>2</v>
      </c>
      <c r="I109" s="46">
        <v>2</v>
      </c>
      <c r="J109" s="33" t="s">
        <v>144</v>
      </c>
      <c r="K109" s="33" t="s">
        <v>142</v>
      </c>
      <c r="L109" s="199" t="s">
        <v>588</v>
      </c>
      <c r="M109" s="1348"/>
      <c r="N109" s="266"/>
      <c r="O109" s="341"/>
      <c r="P109" s="267">
        <f>SUM(P110:P111)</f>
        <v>590000</v>
      </c>
    </row>
    <row r="110" spans="2:17" ht="12.95" customHeight="1" x14ac:dyDescent="0.2">
      <c r="B110" s="377"/>
      <c r="C110" s="378"/>
      <c r="D110" s="378"/>
      <c r="E110" s="379"/>
      <c r="F110" s="379"/>
      <c r="G110" s="380"/>
      <c r="H110" s="380"/>
      <c r="I110" s="380"/>
      <c r="J110" s="378"/>
      <c r="K110" s="378"/>
      <c r="L110" s="437" t="s">
        <v>801</v>
      </c>
      <c r="M110" s="1346">
        <v>5</v>
      </c>
      <c r="N110" s="1328" t="s">
        <v>429</v>
      </c>
      <c r="O110" s="1333">
        <v>68000</v>
      </c>
      <c r="P110" s="1332">
        <f>SUM(O110*M110)</f>
        <v>340000</v>
      </c>
    </row>
    <row r="111" spans="2:17" ht="12.95" customHeight="1" x14ac:dyDescent="0.2">
      <c r="B111" s="377"/>
      <c r="C111" s="378"/>
      <c r="D111" s="378"/>
      <c r="E111" s="379"/>
      <c r="F111" s="379"/>
      <c r="G111" s="380"/>
      <c r="H111" s="380"/>
      <c r="I111" s="380"/>
      <c r="J111" s="378"/>
      <c r="K111" s="378"/>
      <c r="L111" s="437" t="s">
        <v>1083</v>
      </c>
      <c r="M111" s="1346">
        <v>50</v>
      </c>
      <c r="N111" s="1328" t="s">
        <v>348</v>
      </c>
      <c r="O111" s="1333">
        <v>5000</v>
      </c>
      <c r="P111" s="1332">
        <f>SUM(O111*M111)</f>
        <v>250000</v>
      </c>
    </row>
    <row r="112" spans="2:17" ht="12.95" customHeight="1" x14ac:dyDescent="0.2">
      <c r="B112" s="208"/>
      <c r="C112" s="68"/>
      <c r="D112" s="68"/>
      <c r="E112" s="494"/>
      <c r="F112" s="494"/>
      <c r="G112" s="496"/>
      <c r="H112" s="496"/>
      <c r="I112" s="496"/>
      <c r="J112" s="68"/>
      <c r="K112" s="68"/>
      <c r="L112" s="635"/>
      <c r="M112" s="1518"/>
      <c r="N112" s="1981"/>
      <c r="O112" s="1982"/>
      <c r="P112" s="1983"/>
    </row>
    <row r="113" spans="2:16" ht="12.95" customHeight="1" x14ac:dyDescent="0.2">
      <c r="B113" s="80">
        <v>1</v>
      </c>
      <c r="C113" s="33" t="s">
        <v>440</v>
      </c>
      <c r="D113" s="33" t="s">
        <v>142</v>
      </c>
      <c r="E113" s="222">
        <v>15</v>
      </c>
      <c r="F113" s="323" t="s">
        <v>572</v>
      </c>
      <c r="G113" s="46">
        <v>5</v>
      </c>
      <c r="H113" s="46">
        <v>2</v>
      </c>
      <c r="I113" s="46">
        <v>2</v>
      </c>
      <c r="J113" s="33" t="s">
        <v>144</v>
      </c>
      <c r="K113" s="33" t="s">
        <v>142</v>
      </c>
      <c r="L113" s="199" t="s">
        <v>588</v>
      </c>
      <c r="M113" s="1348"/>
      <c r="N113" s="266"/>
      <c r="O113" s="341"/>
      <c r="P113" s="267">
        <f>SUM(P114)</f>
        <v>175000</v>
      </c>
    </row>
    <row r="114" spans="2:16" ht="12.95" customHeight="1" x14ac:dyDescent="0.2">
      <c r="B114" s="208"/>
      <c r="C114" s="68"/>
      <c r="D114" s="68"/>
      <c r="E114" s="1520"/>
      <c r="F114" s="1521"/>
      <c r="G114" s="496"/>
      <c r="H114" s="496"/>
      <c r="I114" s="496"/>
      <c r="J114" s="68"/>
      <c r="K114" s="68"/>
      <c r="L114" s="437" t="s">
        <v>1112</v>
      </c>
      <c r="M114" s="1346">
        <v>500</v>
      </c>
      <c r="N114" s="1328" t="s">
        <v>1113</v>
      </c>
      <c r="O114" s="1333">
        <v>350</v>
      </c>
      <c r="P114" s="1332">
        <f>SUM(O114*M114)</f>
        <v>175000</v>
      </c>
    </row>
    <row r="115" spans="2:16" ht="12.95" customHeight="1" x14ac:dyDescent="0.2">
      <c r="B115" s="377"/>
      <c r="C115" s="378"/>
      <c r="D115" s="378"/>
      <c r="E115" s="379"/>
      <c r="F115" s="378"/>
      <c r="G115" s="380"/>
      <c r="H115" s="380"/>
      <c r="I115" s="380"/>
      <c r="J115" s="380"/>
      <c r="K115" s="378"/>
      <c r="L115" s="602"/>
      <c r="M115" s="1347"/>
      <c r="N115" s="1326"/>
      <c r="O115" s="577"/>
      <c r="P115" s="1336"/>
    </row>
    <row r="116" spans="2:16" ht="12.95" customHeight="1" x14ac:dyDescent="0.2">
      <c r="B116" s="80">
        <v>1</v>
      </c>
      <c r="C116" s="33" t="s">
        <v>440</v>
      </c>
      <c r="D116" s="33" t="s">
        <v>142</v>
      </c>
      <c r="E116" s="222">
        <v>15</v>
      </c>
      <c r="F116" s="323" t="s">
        <v>572</v>
      </c>
      <c r="G116" s="380">
        <v>5</v>
      </c>
      <c r="H116" s="380">
        <v>2</v>
      </c>
      <c r="I116" s="380">
        <v>2</v>
      </c>
      <c r="J116" s="378">
        <v>11</v>
      </c>
      <c r="K116" s="380"/>
      <c r="L116" s="389" t="s">
        <v>295</v>
      </c>
      <c r="M116" s="1346"/>
      <c r="N116" s="1335"/>
      <c r="O116" s="1335"/>
      <c r="P116" s="1334">
        <f>P117</f>
        <v>12750000</v>
      </c>
    </row>
    <row r="117" spans="2:16" ht="12.95" customHeight="1" x14ac:dyDescent="0.2">
      <c r="B117" s="355">
        <v>1</v>
      </c>
      <c r="C117" s="356" t="s">
        <v>440</v>
      </c>
      <c r="D117" s="356" t="s">
        <v>142</v>
      </c>
      <c r="E117" s="461">
        <v>15</v>
      </c>
      <c r="F117" s="474" t="s">
        <v>572</v>
      </c>
      <c r="G117" s="563">
        <v>5</v>
      </c>
      <c r="H117" s="563">
        <v>2</v>
      </c>
      <c r="I117" s="563">
        <v>2</v>
      </c>
      <c r="J117" s="564">
        <v>11</v>
      </c>
      <c r="K117" s="564" t="s">
        <v>168</v>
      </c>
      <c r="L117" s="389" t="s">
        <v>296</v>
      </c>
      <c r="M117" s="1346"/>
      <c r="N117" s="1335"/>
      <c r="O117" s="1335"/>
      <c r="P117" s="1334">
        <f>P118+P121+P124+P138+P141+P128+P131+P135+P144+P134</f>
        <v>12750000</v>
      </c>
    </row>
    <row r="118" spans="2:16" ht="26.45" customHeight="1" x14ac:dyDescent="0.2">
      <c r="B118" s="355"/>
      <c r="C118" s="356"/>
      <c r="D118" s="356"/>
      <c r="E118" s="461"/>
      <c r="F118" s="474"/>
      <c r="G118" s="563"/>
      <c r="H118" s="563"/>
      <c r="I118" s="563"/>
      <c r="J118" s="564"/>
      <c r="K118" s="564"/>
      <c r="L118" s="390" t="s">
        <v>1118</v>
      </c>
      <c r="M118" s="1346"/>
      <c r="N118" s="1328"/>
      <c r="O118" s="1333"/>
      <c r="P118" s="1371">
        <f>SUM(P119:P120)</f>
        <v>0</v>
      </c>
    </row>
    <row r="119" spans="2:16" ht="12.95" customHeight="1" x14ac:dyDescent="0.2">
      <c r="B119" s="377"/>
      <c r="C119" s="378"/>
      <c r="D119" s="378"/>
      <c r="E119" s="379"/>
      <c r="F119" s="379"/>
      <c r="G119" s="380"/>
      <c r="H119" s="380"/>
      <c r="I119" s="380"/>
      <c r="J119" s="378"/>
      <c r="K119" s="378"/>
      <c r="L119" s="601" t="s">
        <v>1226</v>
      </c>
      <c r="M119" s="1346">
        <v>0</v>
      </c>
      <c r="N119" s="1328" t="s">
        <v>259</v>
      </c>
      <c r="O119" s="1333">
        <v>15000</v>
      </c>
      <c r="P119" s="1332">
        <f>SUM(O119*M119)</f>
        <v>0</v>
      </c>
    </row>
    <row r="120" spans="2:16" ht="12.95" customHeight="1" x14ac:dyDescent="0.2">
      <c r="B120" s="377"/>
      <c r="C120" s="378"/>
      <c r="D120" s="378"/>
      <c r="E120" s="379"/>
      <c r="F120" s="379"/>
      <c r="G120" s="380"/>
      <c r="H120" s="380"/>
      <c r="I120" s="380"/>
      <c r="J120" s="378"/>
      <c r="K120" s="378"/>
      <c r="L120" s="601" t="s">
        <v>1227</v>
      </c>
      <c r="M120" s="1346">
        <v>0</v>
      </c>
      <c r="N120" s="1328" t="s">
        <v>259</v>
      </c>
      <c r="O120" s="1333">
        <v>7500</v>
      </c>
      <c r="P120" s="1332">
        <f>SUM(O120*M120)</f>
        <v>0</v>
      </c>
    </row>
    <row r="121" spans="2:16" ht="26.45" customHeight="1" x14ac:dyDescent="0.2">
      <c r="B121" s="377"/>
      <c r="C121" s="378"/>
      <c r="D121" s="378"/>
      <c r="E121" s="379"/>
      <c r="F121" s="379"/>
      <c r="G121" s="380"/>
      <c r="H121" s="380"/>
      <c r="I121" s="380"/>
      <c r="J121" s="378"/>
      <c r="K121" s="378"/>
      <c r="L121" s="390" t="s">
        <v>1228</v>
      </c>
      <c r="M121" s="1346"/>
      <c r="N121" s="1328"/>
      <c r="O121" s="1333"/>
      <c r="P121" s="1371">
        <f>SUM(P122:P123)</f>
        <v>3480000</v>
      </c>
    </row>
    <row r="122" spans="2:16" ht="12.95" customHeight="1" x14ac:dyDescent="0.2">
      <c r="B122" s="377"/>
      <c r="C122" s="378"/>
      <c r="D122" s="378"/>
      <c r="E122" s="379"/>
      <c r="F122" s="379"/>
      <c r="G122" s="380"/>
      <c r="H122" s="380"/>
      <c r="I122" s="380"/>
      <c r="J122" s="378"/>
      <c r="K122" s="378"/>
      <c r="L122" s="601" t="s">
        <v>1229</v>
      </c>
      <c r="M122" s="1346">
        <f>2*58</f>
        <v>116</v>
      </c>
      <c r="N122" s="1328" t="s">
        <v>259</v>
      </c>
      <c r="O122" s="1333">
        <v>15000</v>
      </c>
      <c r="P122" s="1332">
        <f>SUM(O122*M122)</f>
        <v>1740000</v>
      </c>
    </row>
    <row r="123" spans="2:16" ht="12.95" customHeight="1" x14ac:dyDescent="0.2">
      <c r="B123" s="377"/>
      <c r="C123" s="378"/>
      <c r="D123" s="378"/>
      <c r="E123" s="379"/>
      <c r="F123" s="379"/>
      <c r="G123" s="380"/>
      <c r="H123" s="380"/>
      <c r="I123" s="380"/>
      <c r="J123" s="378"/>
      <c r="K123" s="378"/>
      <c r="L123" s="601" t="s">
        <v>1230</v>
      </c>
      <c r="M123" s="1346">
        <f>4*58</f>
        <v>232</v>
      </c>
      <c r="N123" s="1328" t="s">
        <v>259</v>
      </c>
      <c r="O123" s="1333">
        <v>7500</v>
      </c>
      <c r="P123" s="1332">
        <f>SUM(O123*M123)</f>
        <v>1740000</v>
      </c>
    </row>
    <row r="124" spans="2:16" ht="12" customHeight="1" x14ac:dyDescent="0.2">
      <c r="B124" s="377"/>
      <c r="C124" s="378"/>
      <c r="D124" s="378"/>
      <c r="E124" s="379"/>
      <c r="F124" s="379"/>
      <c r="G124" s="380"/>
      <c r="H124" s="380"/>
      <c r="I124" s="380"/>
      <c r="J124" s="378"/>
      <c r="K124" s="378"/>
      <c r="L124" s="390" t="s">
        <v>1084</v>
      </c>
      <c r="M124" s="1346"/>
      <c r="N124" s="1328"/>
      <c r="O124" s="1333"/>
      <c r="P124" s="1371">
        <f>SUM(P125:P127)</f>
        <v>3540000</v>
      </c>
    </row>
    <row r="125" spans="2:16" ht="12.95" customHeight="1" x14ac:dyDescent="0.2">
      <c r="B125" s="377"/>
      <c r="C125" s="378"/>
      <c r="D125" s="378"/>
      <c r="E125" s="379"/>
      <c r="F125" s="379"/>
      <c r="G125" s="380"/>
      <c r="H125" s="380"/>
      <c r="I125" s="380"/>
      <c r="J125" s="378"/>
      <c r="K125" s="378"/>
      <c r="L125" s="601" t="s">
        <v>1115</v>
      </c>
      <c r="M125" s="1346">
        <v>80</v>
      </c>
      <c r="N125" s="1328" t="s">
        <v>259</v>
      </c>
      <c r="O125" s="1333">
        <v>15000</v>
      </c>
      <c r="P125" s="1332">
        <f>SUM(O125*M125)</f>
        <v>1200000</v>
      </c>
    </row>
    <row r="126" spans="2:16" ht="12.95" customHeight="1" x14ac:dyDescent="0.2">
      <c r="B126" s="377"/>
      <c r="C126" s="378"/>
      <c r="D126" s="378"/>
      <c r="E126" s="379"/>
      <c r="F126" s="379"/>
      <c r="G126" s="380"/>
      <c r="H126" s="380"/>
      <c r="I126" s="380"/>
      <c r="J126" s="378"/>
      <c r="K126" s="378"/>
      <c r="L126" s="601" t="s">
        <v>1114</v>
      </c>
      <c r="M126" s="1346">
        <v>80</v>
      </c>
      <c r="N126" s="1328" t="s">
        <v>259</v>
      </c>
      <c r="O126" s="1333">
        <v>7500</v>
      </c>
      <c r="P126" s="1332">
        <f>SUM(O126*M126)</f>
        <v>600000</v>
      </c>
    </row>
    <row r="127" spans="2:16" ht="12.95" customHeight="1" x14ac:dyDescent="0.2">
      <c r="B127" s="377"/>
      <c r="C127" s="378"/>
      <c r="D127" s="378"/>
      <c r="E127" s="379"/>
      <c r="F127" s="379"/>
      <c r="G127" s="380"/>
      <c r="H127" s="380"/>
      <c r="I127" s="380"/>
      <c r="J127" s="378"/>
      <c r="K127" s="378"/>
      <c r="L127" s="601" t="s">
        <v>1231</v>
      </c>
      <c r="M127" s="1346">
        <v>145</v>
      </c>
      <c r="N127" s="1328" t="s">
        <v>259</v>
      </c>
      <c r="O127" s="1333">
        <v>12000</v>
      </c>
      <c r="P127" s="1332">
        <f>SUM(O127*M127)</f>
        <v>1740000</v>
      </c>
    </row>
    <row r="128" spans="2:16" ht="12.95" customHeight="1" x14ac:dyDescent="0.2">
      <c r="B128" s="377"/>
      <c r="C128" s="378"/>
      <c r="D128" s="378"/>
      <c r="E128" s="379"/>
      <c r="F128" s="379"/>
      <c r="G128" s="380"/>
      <c r="H128" s="380"/>
      <c r="I128" s="380"/>
      <c r="J128" s="378"/>
      <c r="K128" s="378"/>
      <c r="L128" s="390" t="s">
        <v>1199</v>
      </c>
      <c r="M128" s="1346"/>
      <c r="N128" s="1328"/>
      <c r="O128" s="1333"/>
      <c r="P128" s="1371">
        <f>SUM(P129:P130)</f>
        <v>0</v>
      </c>
    </row>
    <row r="129" spans="2:16" ht="12.95" customHeight="1" x14ac:dyDescent="0.2">
      <c r="B129" s="377"/>
      <c r="C129" s="378"/>
      <c r="D129" s="378"/>
      <c r="E129" s="379"/>
      <c r="F129" s="379"/>
      <c r="G129" s="380"/>
      <c r="H129" s="380"/>
      <c r="I129" s="380"/>
      <c r="J129" s="378"/>
      <c r="K129" s="378"/>
      <c r="L129" s="2000" t="s">
        <v>1200</v>
      </c>
      <c r="M129" s="1346">
        <v>0</v>
      </c>
      <c r="N129" s="1328" t="s">
        <v>259</v>
      </c>
      <c r="O129" s="1333">
        <v>15000</v>
      </c>
      <c r="P129" s="1332">
        <f>SUM(O129*M129)</f>
        <v>0</v>
      </c>
    </row>
    <row r="130" spans="2:16" ht="12.95" customHeight="1" x14ac:dyDescent="0.2">
      <c r="B130" s="377"/>
      <c r="C130" s="378"/>
      <c r="D130" s="378"/>
      <c r="E130" s="379"/>
      <c r="F130" s="379"/>
      <c r="G130" s="380"/>
      <c r="H130" s="380"/>
      <c r="I130" s="380"/>
      <c r="J130" s="378"/>
      <c r="K130" s="378"/>
      <c r="L130" s="2000" t="s">
        <v>1201</v>
      </c>
      <c r="M130" s="1346">
        <v>0</v>
      </c>
      <c r="N130" s="1328" t="s">
        <v>259</v>
      </c>
      <c r="O130" s="1333">
        <v>7500</v>
      </c>
      <c r="P130" s="1332">
        <f>SUM(O130*M130)</f>
        <v>0</v>
      </c>
    </row>
    <row r="131" spans="2:16" ht="12.95" customHeight="1" x14ac:dyDescent="0.2">
      <c r="B131" s="377"/>
      <c r="C131" s="378"/>
      <c r="D131" s="378"/>
      <c r="E131" s="379"/>
      <c r="F131" s="379"/>
      <c r="G131" s="380"/>
      <c r="H131" s="380"/>
      <c r="I131" s="380"/>
      <c r="J131" s="378"/>
      <c r="K131" s="378"/>
      <c r="L131" s="1961" t="s">
        <v>1116</v>
      </c>
      <c r="M131" s="1346"/>
      <c r="N131" s="1328"/>
      <c r="O131" s="1333"/>
      <c r="P131" s="1371">
        <f>P132+P133</f>
        <v>2700000</v>
      </c>
    </row>
    <row r="132" spans="2:16" ht="12.95" customHeight="1" x14ac:dyDescent="0.2">
      <c r="B132" s="377"/>
      <c r="C132" s="378"/>
      <c r="D132" s="378"/>
      <c r="E132" s="379"/>
      <c r="F132" s="379"/>
      <c r="G132" s="380"/>
      <c r="H132" s="380"/>
      <c r="I132" s="380"/>
      <c r="J132" s="378"/>
      <c r="K132" s="378"/>
      <c r="L132" s="2000" t="s">
        <v>1202</v>
      </c>
      <c r="M132" s="1346">
        <v>90</v>
      </c>
      <c r="N132" s="1328" t="s">
        <v>259</v>
      </c>
      <c r="O132" s="1333">
        <v>15000</v>
      </c>
      <c r="P132" s="1332">
        <f>SUM(O132*M132)</f>
        <v>1350000</v>
      </c>
    </row>
    <row r="133" spans="2:16" ht="12.95" customHeight="1" x14ac:dyDescent="0.2">
      <c r="B133" s="377"/>
      <c r="C133" s="378"/>
      <c r="D133" s="378"/>
      <c r="E133" s="379"/>
      <c r="F133" s="379"/>
      <c r="G133" s="380"/>
      <c r="H133" s="380"/>
      <c r="I133" s="380"/>
      <c r="J133" s="378"/>
      <c r="K133" s="378"/>
      <c r="L133" s="2000" t="s">
        <v>1203</v>
      </c>
      <c r="M133" s="1346">
        <v>180</v>
      </c>
      <c r="N133" s="1328" t="s">
        <v>259</v>
      </c>
      <c r="O133" s="1333">
        <v>7500</v>
      </c>
      <c r="P133" s="1332">
        <f>SUM(O133*M133)</f>
        <v>1350000</v>
      </c>
    </row>
    <row r="134" spans="2:16" ht="12.95" customHeight="1" x14ac:dyDescent="0.2">
      <c r="B134" s="377"/>
      <c r="C134" s="378"/>
      <c r="D134" s="378"/>
      <c r="E134" s="379"/>
      <c r="F134" s="379"/>
      <c r="G134" s="380"/>
      <c r="H134" s="380"/>
      <c r="I134" s="380"/>
      <c r="J134" s="378"/>
      <c r="K134" s="378"/>
      <c r="L134" s="2000" t="s">
        <v>1232</v>
      </c>
      <c r="M134" s="1346">
        <v>90</v>
      </c>
      <c r="N134" s="1328" t="s">
        <v>259</v>
      </c>
      <c r="O134" s="1333">
        <v>12000</v>
      </c>
      <c r="P134" s="1332">
        <f>SUM(O134*M134)</f>
        <v>1080000</v>
      </c>
    </row>
    <row r="135" spans="2:16" ht="26.1" customHeight="1" x14ac:dyDescent="0.2">
      <c r="B135" s="377"/>
      <c r="C135" s="378"/>
      <c r="D135" s="378"/>
      <c r="E135" s="379"/>
      <c r="F135" s="379"/>
      <c r="G135" s="380"/>
      <c r="H135" s="380"/>
      <c r="I135" s="380"/>
      <c r="J135" s="378"/>
      <c r="K135" s="378"/>
      <c r="L135" s="390" t="s">
        <v>1204</v>
      </c>
      <c r="M135" s="1346"/>
      <c r="N135" s="1328"/>
      <c r="O135" s="1333"/>
      <c r="P135" s="1371">
        <f>SUM(P136:P137)</f>
        <v>900000</v>
      </c>
    </row>
    <row r="136" spans="2:16" ht="12.95" customHeight="1" x14ac:dyDescent="0.2">
      <c r="B136" s="377"/>
      <c r="C136" s="378"/>
      <c r="D136" s="378"/>
      <c r="E136" s="379"/>
      <c r="F136" s="379"/>
      <c r="G136" s="380"/>
      <c r="H136" s="380"/>
      <c r="I136" s="380"/>
      <c r="J136" s="378"/>
      <c r="K136" s="378"/>
      <c r="L136" s="2000" t="s">
        <v>1205</v>
      </c>
      <c r="M136" s="1346">
        <v>30</v>
      </c>
      <c r="N136" s="1328" t="s">
        <v>259</v>
      </c>
      <c r="O136" s="1333">
        <v>15000</v>
      </c>
      <c r="P136" s="1332">
        <f>SUM(O136*M136)</f>
        <v>450000</v>
      </c>
    </row>
    <row r="137" spans="2:16" ht="12.95" customHeight="1" x14ac:dyDescent="0.2">
      <c r="B137" s="377"/>
      <c r="C137" s="378"/>
      <c r="D137" s="378"/>
      <c r="E137" s="379"/>
      <c r="F137" s="379"/>
      <c r="G137" s="380"/>
      <c r="H137" s="380"/>
      <c r="I137" s="380"/>
      <c r="J137" s="378"/>
      <c r="K137" s="378"/>
      <c r="L137" s="2000" t="s">
        <v>1206</v>
      </c>
      <c r="M137" s="1346">
        <v>60</v>
      </c>
      <c r="N137" s="1328" t="s">
        <v>259</v>
      </c>
      <c r="O137" s="1333">
        <v>7500</v>
      </c>
      <c r="P137" s="1332">
        <f>SUM(O137*M137)</f>
        <v>450000</v>
      </c>
    </row>
    <row r="138" spans="2:16" ht="12.95" customHeight="1" x14ac:dyDescent="0.2">
      <c r="B138" s="377"/>
      <c r="C138" s="378"/>
      <c r="D138" s="378"/>
      <c r="E138" s="379"/>
      <c r="F138" s="379"/>
      <c r="G138" s="380"/>
      <c r="H138" s="380"/>
      <c r="I138" s="380"/>
      <c r="J138" s="378"/>
      <c r="K138" s="378"/>
      <c r="L138" s="1961" t="s">
        <v>1207</v>
      </c>
      <c r="M138" s="1346"/>
      <c r="N138" s="1328"/>
      <c r="O138" s="1333"/>
      <c r="P138" s="1371">
        <f>SUM(P139:P140)</f>
        <v>0</v>
      </c>
    </row>
    <row r="139" spans="2:16" ht="12.95" customHeight="1" x14ac:dyDescent="0.2">
      <c r="B139" s="377"/>
      <c r="C139" s="378"/>
      <c r="D139" s="378"/>
      <c r="E139" s="379"/>
      <c r="F139" s="379"/>
      <c r="G139" s="380"/>
      <c r="H139" s="380"/>
      <c r="I139" s="380"/>
      <c r="J139" s="378"/>
      <c r="K139" s="378"/>
      <c r="L139" s="2000" t="s">
        <v>1208</v>
      </c>
      <c r="M139" s="1346">
        <v>0</v>
      </c>
      <c r="N139" s="1328" t="s">
        <v>259</v>
      </c>
      <c r="O139" s="1333">
        <v>15000</v>
      </c>
      <c r="P139" s="1332">
        <f t="shared" ref="P139:P140" si="13">SUM(O139*M139)</f>
        <v>0</v>
      </c>
    </row>
    <row r="140" spans="2:16" ht="12.95" customHeight="1" x14ac:dyDescent="0.2">
      <c r="B140" s="377"/>
      <c r="C140" s="378"/>
      <c r="D140" s="378"/>
      <c r="E140" s="379"/>
      <c r="F140" s="379"/>
      <c r="G140" s="380"/>
      <c r="H140" s="380"/>
      <c r="I140" s="380"/>
      <c r="J140" s="378"/>
      <c r="K140" s="378"/>
      <c r="L140" s="2000" t="s">
        <v>1209</v>
      </c>
      <c r="M140" s="1346">
        <v>0</v>
      </c>
      <c r="N140" s="1328" t="s">
        <v>259</v>
      </c>
      <c r="O140" s="1333">
        <v>7500</v>
      </c>
      <c r="P140" s="1332">
        <f t="shared" si="13"/>
        <v>0</v>
      </c>
    </row>
    <row r="141" spans="2:16" ht="15" customHeight="1" x14ac:dyDescent="0.2">
      <c r="B141" s="377"/>
      <c r="C141" s="378"/>
      <c r="D141" s="378"/>
      <c r="E141" s="379"/>
      <c r="F141" s="379"/>
      <c r="G141" s="380"/>
      <c r="H141" s="380"/>
      <c r="I141" s="380"/>
      <c r="J141" s="378"/>
      <c r="K141" s="378"/>
      <c r="L141" s="390" t="s">
        <v>1210</v>
      </c>
      <c r="M141" s="1346"/>
      <c r="N141" s="1328"/>
      <c r="O141" s="1333"/>
      <c r="P141" s="1371">
        <f>SUM(P142:P143)</f>
        <v>450000</v>
      </c>
    </row>
    <row r="142" spans="2:16" ht="12.95" customHeight="1" x14ac:dyDescent="0.2">
      <c r="B142" s="377"/>
      <c r="C142" s="378"/>
      <c r="D142" s="378"/>
      <c r="E142" s="379"/>
      <c r="F142" s="379"/>
      <c r="G142" s="380"/>
      <c r="H142" s="380"/>
      <c r="I142" s="380"/>
      <c r="J142" s="378"/>
      <c r="K142" s="378"/>
      <c r="L142" s="2000" t="s">
        <v>1211</v>
      </c>
      <c r="M142" s="1346">
        <v>10</v>
      </c>
      <c r="N142" s="1328" t="s">
        <v>259</v>
      </c>
      <c r="O142" s="1333">
        <v>15000</v>
      </c>
      <c r="P142" s="1332">
        <f>SUM(O142*M142)</f>
        <v>150000</v>
      </c>
    </row>
    <row r="143" spans="2:16" ht="12.95" customHeight="1" x14ac:dyDescent="0.2">
      <c r="B143" s="377"/>
      <c r="C143" s="378"/>
      <c r="D143" s="378"/>
      <c r="E143" s="379"/>
      <c r="F143" s="379"/>
      <c r="G143" s="380"/>
      <c r="H143" s="380"/>
      <c r="I143" s="380"/>
      <c r="J143" s="378"/>
      <c r="K143" s="378"/>
      <c r="L143" s="2000" t="s">
        <v>1212</v>
      </c>
      <c r="M143" s="1346">
        <v>40</v>
      </c>
      <c r="N143" s="1328" t="s">
        <v>259</v>
      </c>
      <c r="O143" s="1333">
        <v>7500</v>
      </c>
      <c r="P143" s="1332">
        <f>SUM(O143*M143)</f>
        <v>300000</v>
      </c>
    </row>
    <row r="144" spans="2:16" ht="12.95" customHeight="1" x14ac:dyDescent="0.2">
      <c r="B144" s="377"/>
      <c r="C144" s="378"/>
      <c r="D144" s="378"/>
      <c r="E144" s="379"/>
      <c r="F144" s="379"/>
      <c r="G144" s="380"/>
      <c r="H144" s="380"/>
      <c r="I144" s="380"/>
      <c r="J144" s="378"/>
      <c r="K144" s="378"/>
      <c r="L144" s="2000" t="s">
        <v>1213</v>
      </c>
      <c r="M144" s="1346">
        <v>50</v>
      </c>
      <c r="N144" s="1328" t="s">
        <v>259</v>
      </c>
      <c r="O144" s="1333">
        <v>12000</v>
      </c>
      <c r="P144" s="1332">
        <f>SUM(O144*M144)</f>
        <v>600000</v>
      </c>
    </row>
    <row r="145" spans="2:17" ht="12.95" customHeight="1" thickBot="1" x14ac:dyDescent="0.25">
      <c r="B145" s="377"/>
      <c r="C145" s="378"/>
      <c r="D145" s="378"/>
      <c r="E145" s="379"/>
      <c r="F145" s="379"/>
      <c r="G145" s="380"/>
      <c r="H145" s="380"/>
      <c r="I145" s="380"/>
      <c r="J145" s="378"/>
      <c r="K145" s="378"/>
      <c r="L145" s="601"/>
      <c r="M145" s="1346"/>
      <c r="N145" s="1328"/>
      <c r="O145" s="1333"/>
      <c r="P145" s="1350"/>
      <c r="Q145" s="133"/>
    </row>
    <row r="146" spans="2:17" ht="12.95" customHeight="1" thickBot="1" x14ac:dyDescent="0.25">
      <c r="B146" s="110"/>
      <c r="C146" s="107"/>
      <c r="D146" s="107"/>
      <c r="E146" s="107"/>
      <c r="F146" s="107"/>
      <c r="G146" s="107"/>
      <c r="H146" s="107"/>
      <c r="I146" s="107"/>
      <c r="J146" s="107"/>
      <c r="K146" s="107"/>
      <c r="L146" s="107"/>
      <c r="M146" s="2620" t="s">
        <v>199</v>
      </c>
      <c r="N146" s="2620"/>
      <c r="O146" s="2621"/>
      <c r="P146" s="1351">
        <f>P31</f>
        <v>268769930</v>
      </c>
      <c r="Q146" s="133"/>
    </row>
    <row r="147" spans="2:17" ht="12.95" customHeight="1" x14ac:dyDescent="0.2">
      <c r="B147" s="1214"/>
      <c r="C147" s="1215"/>
      <c r="D147" s="1215"/>
      <c r="E147" s="1215"/>
      <c r="F147" s="1215"/>
      <c r="G147" s="1215"/>
      <c r="H147" s="1215"/>
      <c r="I147" s="1215"/>
      <c r="J147" s="1215"/>
      <c r="K147" s="1215"/>
      <c r="L147" s="1215"/>
      <c r="M147" s="1215"/>
      <c r="N147" s="1215"/>
      <c r="O147" s="1215"/>
      <c r="P147" s="1251"/>
      <c r="Q147" s="133"/>
    </row>
    <row r="148" spans="2:17" ht="12.95" customHeight="1" x14ac:dyDescent="0.2">
      <c r="B148" s="170"/>
      <c r="C148" s="131"/>
      <c r="D148" s="131"/>
      <c r="E148" s="131"/>
      <c r="F148" s="131"/>
      <c r="G148" s="131"/>
      <c r="H148" s="131"/>
      <c r="I148" s="131"/>
      <c r="J148" s="131"/>
      <c r="K148" s="131"/>
      <c r="L148" s="144"/>
      <c r="M148" s="2506" t="str">
        <f>'RECAP APBD'!E43</f>
        <v>Banda Aceh,                   2020</v>
      </c>
      <c r="N148" s="2506"/>
      <c r="O148" s="2506"/>
      <c r="P148" s="2507"/>
      <c r="Q148" s="170"/>
    </row>
    <row r="149" spans="2:17" ht="12.95" customHeight="1" x14ac:dyDescent="0.2">
      <c r="B149" s="170"/>
      <c r="C149" s="131"/>
      <c r="D149" s="131"/>
      <c r="E149" s="131"/>
      <c r="F149" s="131"/>
      <c r="G149" s="131"/>
      <c r="H149" s="131"/>
      <c r="I149" s="131"/>
      <c r="J149" s="131"/>
      <c r="K149" s="131"/>
      <c r="L149" s="131"/>
      <c r="M149" s="2449" t="str">
        <f>'RECAP APBD'!E44</f>
        <v>Pengguna Anggaran</v>
      </c>
      <c r="N149" s="2449"/>
      <c r="O149" s="2449"/>
      <c r="P149" s="2600"/>
    </row>
    <row r="150" spans="2:17" ht="12.95" customHeight="1" x14ac:dyDescent="0.2">
      <c r="B150" s="170"/>
      <c r="C150" s="131"/>
      <c r="D150" s="131"/>
      <c r="E150" s="131"/>
      <c r="F150" s="131"/>
      <c r="G150" s="131"/>
      <c r="H150" s="131"/>
      <c r="I150" s="131"/>
      <c r="J150" s="131"/>
      <c r="K150" s="131"/>
      <c r="L150" s="131"/>
      <c r="M150" s="2449" t="str">
        <f>'RECAP APBD'!E45</f>
        <v>Satuan Kerja Perangkat Daerah</v>
      </c>
      <c r="N150" s="2449"/>
      <c r="O150" s="2449"/>
      <c r="P150" s="2600"/>
    </row>
    <row r="151" spans="2:17" ht="12.95" customHeight="1" x14ac:dyDescent="0.2">
      <c r="B151" s="170"/>
      <c r="C151" s="131"/>
      <c r="D151" s="131"/>
      <c r="E151" s="131"/>
      <c r="F151" s="131"/>
      <c r="G151" s="131"/>
      <c r="H151" s="131"/>
      <c r="I151" s="131"/>
      <c r="J151" s="131"/>
      <c r="K151" s="131"/>
      <c r="L151" s="1058"/>
      <c r="M151" s="1094"/>
      <c r="N151" s="2759"/>
      <c r="O151" s="2759"/>
      <c r="P151" s="2760"/>
    </row>
    <row r="152" spans="2:17" ht="12.95" customHeight="1" x14ac:dyDescent="0.2">
      <c r="B152" s="170"/>
      <c r="C152" s="131"/>
      <c r="D152" s="131"/>
      <c r="E152" s="131"/>
      <c r="F152" s="131"/>
      <c r="G152" s="131"/>
      <c r="H152" s="131"/>
      <c r="I152" s="131"/>
      <c r="J152" s="131"/>
      <c r="K152" s="131"/>
      <c r="L152" s="1221"/>
      <c r="M152" s="1094"/>
      <c r="N152" s="2759"/>
      <c r="O152" s="2759"/>
      <c r="P152" s="2760"/>
    </row>
    <row r="153" spans="2:17" ht="12.95" customHeight="1" x14ac:dyDescent="0.2">
      <c r="B153" s="170"/>
      <c r="C153" s="131"/>
      <c r="D153" s="131"/>
      <c r="E153" s="131"/>
      <c r="F153" s="131"/>
      <c r="G153" s="131"/>
      <c r="H153" s="131"/>
      <c r="I153" s="131"/>
      <c r="J153" s="131"/>
      <c r="K153" s="131"/>
      <c r="L153" s="22"/>
      <c r="M153" s="2199" t="str">
        <f>'SMART UU40&amp;BINTEK'!M108:P108</f>
        <v>Bustami, SH</v>
      </c>
      <c r="N153" s="2199"/>
      <c r="O153" s="2199"/>
      <c r="P153" s="2200"/>
    </row>
    <row r="154" spans="2:17" ht="12.95" customHeight="1" x14ac:dyDescent="0.2">
      <c r="B154" s="170"/>
      <c r="C154" s="131"/>
      <c r="D154" s="131"/>
      <c r="E154" s="131"/>
      <c r="F154" s="131"/>
      <c r="G154" s="131"/>
      <c r="H154" s="131"/>
      <c r="I154" s="131"/>
      <c r="J154" s="131"/>
      <c r="K154" s="131"/>
      <c r="L154" s="22"/>
      <c r="M154" s="2683" t="str">
        <f>'RECAP APBD'!E49</f>
        <v>Pembina Utama Muda / Nip. 19630824 198703 1 004</v>
      </c>
      <c r="N154" s="2683"/>
      <c r="O154" s="2683"/>
      <c r="P154" s="2696"/>
    </row>
    <row r="155" spans="2:17" ht="12.95" customHeight="1" x14ac:dyDescent="0.2">
      <c r="B155" s="2501" t="s">
        <v>140</v>
      </c>
      <c r="C155" s="2502"/>
      <c r="D155" s="2502"/>
      <c r="E155" s="2502"/>
      <c r="F155" s="2502"/>
      <c r="G155" s="2502"/>
      <c r="H155" s="2502"/>
      <c r="I155" s="2502"/>
      <c r="J155" s="2502"/>
      <c r="K155" s="2502"/>
      <c r="L155" s="2502"/>
      <c r="M155" s="2513"/>
      <c r="N155" s="2513"/>
      <c r="O155" s="2513"/>
      <c r="P155" s="2514"/>
    </row>
    <row r="156" spans="2:17" ht="12.95" customHeight="1" x14ac:dyDescent="0.2">
      <c r="B156" s="2501" t="s">
        <v>22</v>
      </c>
      <c r="C156" s="2502"/>
      <c r="D156" s="2502"/>
      <c r="E156" s="2502"/>
      <c r="F156" s="2502"/>
      <c r="G156" s="2502"/>
      <c r="H156" s="2502"/>
      <c r="I156" s="2502"/>
      <c r="J156" s="2502"/>
      <c r="K156" s="2502"/>
      <c r="L156" s="2502"/>
      <c r="M156" s="251"/>
      <c r="N156" s="2508"/>
      <c r="O156" s="2508"/>
      <c r="P156" s="2509"/>
      <c r="Q156" s="1255"/>
    </row>
    <row r="157" spans="2:17" ht="12.95" customHeight="1" x14ac:dyDescent="0.2">
      <c r="B157" s="2501" t="s">
        <v>21</v>
      </c>
      <c r="C157" s="2502"/>
      <c r="D157" s="2502"/>
      <c r="E157" s="2502"/>
      <c r="F157" s="2502"/>
      <c r="G157" s="2502"/>
      <c r="H157" s="2502"/>
      <c r="I157" s="2502"/>
      <c r="J157" s="2502"/>
      <c r="K157" s="2502"/>
      <c r="L157" s="2502"/>
      <c r="M157" s="251"/>
      <c r="N157" s="2503"/>
      <c r="O157" s="2503"/>
      <c r="P157" s="2504"/>
      <c r="Q157" s="1255"/>
    </row>
    <row r="158" spans="2:17" ht="12.95" customHeight="1" x14ac:dyDescent="0.2">
      <c r="B158" s="2501" t="s">
        <v>204</v>
      </c>
      <c r="C158" s="2502"/>
      <c r="D158" s="2502"/>
      <c r="E158" s="2502"/>
      <c r="F158" s="2502"/>
      <c r="G158" s="2502"/>
      <c r="H158" s="2502"/>
      <c r="I158" s="2502"/>
      <c r="J158" s="2502"/>
      <c r="K158" s="2502"/>
      <c r="L158" s="2502"/>
      <c r="M158" s="2502"/>
      <c r="N158" s="2502"/>
      <c r="O158" s="2502"/>
      <c r="P158" s="2505"/>
      <c r="Q158" s="1255"/>
    </row>
    <row r="159" spans="2:17" ht="12.95" customHeight="1" x14ac:dyDescent="0.2">
      <c r="B159" s="2501" t="s">
        <v>205</v>
      </c>
      <c r="C159" s="2502"/>
      <c r="D159" s="2502"/>
      <c r="E159" s="2502"/>
      <c r="F159" s="2502"/>
      <c r="G159" s="2502"/>
      <c r="H159" s="2502"/>
      <c r="I159" s="2502"/>
      <c r="J159" s="2502"/>
      <c r="K159" s="2502"/>
      <c r="L159" s="2502"/>
      <c r="M159" s="2502"/>
      <c r="N159" s="2502"/>
      <c r="O159" s="2502"/>
      <c r="P159" s="2505"/>
      <c r="Q159" s="1258"/>
    </row>
    <row r="160" spans="2:17" ht="12.95" customHeight="1" thickBot="1" x14ac:dyDescent="0.25">
      <c r="B160" s="2517" t="s">
        <v>206</v>
      </c>
      <c r="C160" s="2518"/>
      <c r="D160" s="2518"/>
      <c r="E160" s="2518"/>
      <c r="F160" s="2518"/>
      <c r="G160" s="2518"/>
      <c r="H160" s="2518"/>
      <c r="I160" s="2518"/>
      <c r="J160" s="2518"/>
      <c r="K160" s="2518"/>
      <c r="L160" s="2518"/>
      <c r="M160" s="2518"/>
      <c r="N160" s="2518"/>
      <c r="O160" s="2518"/>
      <c r="P160" s="2519"/>
      <c r="Q160" s="1258"/>
    </row>
    <row r="161" spans="2:17" ht="12.95" customHeight="1" thickTop="1" x14ac:dyDescent="0.2">
      <c r="B161" s="2523" t="s">
        <v>25</v>
      </c>
      <c r="C161" s="2524"/>
      <c r="D161" s="2524"/>
      <c r="E161" s="2524"/>
      <c r="F161" s="2524"/>
      <c r="G161" s="2524"/>
      <c r="H161" s="2524"/>
      <c r="I161" s="2524"/>
      <c r="J161" s="2524"/>
      <c r="K161" s="2524"/>
      <c r="L161" s="2524"/>
      <c r="M161" s="2524"/>
      <c r="N161" s="2524"/>
      <c r="O161" s="2524"/>
      <c r="P161" s="2525"/>
      <c r="Q161" s="1258"/>
    </row>
    <row r="162" spans="2:17" ht="12.95" customHeight="1" thickBot="1" x14ac:dyDescent="0.25">
      <c r="B162" s="2526" t="s">
        <v>207</v>
      </c>
      <c r="C162" s="2527"/>
      <c r="D162" s="2528" t="s">
        <v>208</v>
      </c>
      <c r="E162" s="2529"/>
      <c r="F162" s="2529"/>
      <c r="G162" s="2529"/>
      <c r="H162" s="2529"/>
      <c r="I162" s="2529"/>
      <c r="J162" s="2529"/>
      <c r="K162" s="2529"/>
      <c r="L162" s="2530"/>
      <c r="M162" s="2531" t="s">
        <v>209</v>
      </c>
      <c r="N162" s="2530"/>
      <c r="O162" s="4" t="s">
        <v>210</v>
      </c>
      <c r="P162" s="92" t="s">
        <v>211</v>
      </c>
      <c r="Q162" s="1258"/>
    </row>
    <row r="163" spans="2:17" ht="12.95" customHeight="1" thickTop="1" x14ac:dyDescent="0.2">
      <c r="B163" s="2535">
        <v>1</v>
      </c>
      <c r="C163" s="2536"/>
      <c r="D163" s="2532"/>
      <c r="E163" s="2533"/>
      <c r="F163" s="2533"/>
      <c r="G163" s="2533"/>
      <c r="H163" s="2533"/>
      <c r="I163" s="2533"/>
      <c r="J163" s="2533"/>
      <c r="K163" s="2533"/>
      <c r="L163" s="2534"/>
      <c r="M163" s="2538"/>
      <c r="N163" s="2539"/>
      <c r="O163" s="1073"/>
      <c r="P163" s="1177" t="s">
        <v>10</v>
      </c>
    </row>
    <row r="164" spans="2:17" ht="12.95" customHeight="1" x14ac:dyDescent="0.2">
      <c r="B164" s="2522">
        <v>2</v>
      </c>
      <c r="C164" s="2240"/>
      <c r="D164" s="1116"/>
      <c r="E164" s="1117"/>
      <c r="F164" s="1117"/>
      <c r="G164" s="1117"/>
      <c r="H164" s="1117"/>
      <c r="I164" s="1117"/>
      <c r="J164" s="1117"/>
      <c r="K164" s="1117"/>
      <c r="L164" s="1118"/>
      <c r="M164" s="2442"/>
      <c r="N164" s="2247"/>
      <c r="O164" s="1085"/>
      <c r="P164" s="1177" t="s">
        <v>11</v>
      </c>
    </row>
    <row r="165" spans="2:17" ht="12.95" customHeight="1" x14ac:dyDescent="0.2">
      <c r="B165" s="2522">
        <v>3</v>
      </c>
      <c r="C165" s="2240"/>
      <c r="D165" s="1116"/>
      <c r="E165" s="1117"/>
      <c r="F165" s="1117"/>
      <c r="G165" s="1117"/>
      <c r="H165" s="1117"/>
      <c r="I165" s="1117"/>
      <c r="J165" s="1117"/>
      <c r="K165" s="1117"/>
      <c r="L165" s="1118"/>
      <c r="M165" s="2442"/>
      <c r="N165" s="2247"/>
      <c r="O165" s="1085"/>
      <c r="P165" s="1177" t="s">
        <v>12</v>
      </c>
    </row>
    <row r="166" spans="2:17" ht="12.95" customHeight="1" x14ac:dyDescent="0.2">
      <c r="B166" s="2522">
        <v>4</v>
      </c>
      <c r="C166" s="2240"/>
      <c r="D166" s="1116"/>
      <c r="E166" s="1117"/>
      <c r="F166" s="1117"/>
      <c r="G166" s="1117"/>
      <c r="H166" s="1117"/>
      <c r="I166" s="1117"/>
      <c r="J166" s="1117"/>
      <c r="K166" s="1117"/>
      <c r="L166" s="1118"/>
      <c r="M166" s="2443"/>
      <c r="N166" s="2253"/>
      <c r="O166" s="1085"/>
      <c r="P166" s="1177" t="s">
        <v>13</v>
      </c>
    </row>
    <row r="167" spans="2:17" ht="12.95" customHeight="1" x14ac:dyDescent="0.2">
      <c r="B167" s="2522">
        <v>5</v>
      </c>
      <c r="C167" s="2240"/>
      <c r="D167" s="1116"/>
      <c r="E167" s="1117"/>
      <c r="F167" s="1117"/>
      <c r="G167" s="1117"/>
      <c r="H167" s="1117"/>
      <c r="I167" s="1117"/>
      <c r="J167" s="1117"/>
      <c r="K167" s="1117"/>
      <c r="L167" s="1118"/>
      <c r="M167" s="2443"/>
      <c r="N167" s="2253"/>
      <c r="O167" s="1085"/>
      <c r="P167" s="1177" t="s">
        <v>14</v>
      </c>
    </row>
    <row r="168" spans="2:17" ht="12.95" customHeight="1" x14ac:dyDescent="0.2">
      <c r="B168" s="2522">
        <v>6</v>
      </c>
      <c r="C168" s="2240"/>
      <c r="D168" s="1116"/>
      <c r="E168" s="1117"/>
      <c r="F168" s="1117"/>
      <c r="G168" s="1117"/>
      <c r="H168" s="1117"/>
      <c r="I168" s="1117"/>
      <c r="J168" s="1117"/>
      <c r="K168" s="1117"/>
      <c r="L168" s="1118"/>
      <c r="M168" s="2443"/>
      <c r="N168" s="2253"/>
      <c r="O168" s="1085"/>
      <c r="P168" s="1178" t="s">
        <v>42</v>
      </c>
    </row>
    <row r="169" spans="2:17" ht="12.95" customHeight="1" thickBot="1" x14ac:dyDescent="0.25">
      <c r="B169" s="2520">
        <v>7</v>
      </c>
      <c r="C169" s="2521"/>
      <c r="D169" s="1119"/>
      <c r="E169" s="1120"/>
      <c r="F169" s="1120"/>
      <c r="G169" s="1120"/>
      <c r="H169" s="1120"/>
      <c r="I169" s="1120"/>
      <c r="J169" s="1120"/>
      <c r="K169" s="1120"/>
      <c r="L169" s="1121"/>
      <c r="M169" s="2537"/>
      <c r="N169" s="2300"/>
      <c r="O169" s="1061"/>
      <c r="P169" s="1179" t="s">
        <v>487</v>
      </c>
    </row>
    <row r="170" spans="2:17" ht="13.5" thickTop="1" x14ac:dyDescent="0.2">
      <c r="B170" s="730"/>
      <c r="C170" s="730"/>
      <c r="D170" s="730"/>
      <c r="E170" s="730"/>
      <c r="F170" s="730"/>
      <c r="G170" s="730"/>
      <c r="H170" s="730"/>
      <c r="I170" s="730"/>
      <c r="J170" s="730"/>
      <c r="K170" s="730"/>
      <c r="L170" s="730"/>
      <c r="M170" s="730"/>
      <c r="N170" s="730"/>
      <c r="O170" s="730"/>
      <c r="P170" s="730"/>
    </row>
    <row r="171" spans="2:17" x14ac:dyDescent="0.2">
      <c r="B171" s="730"/>
      <c r="C171" s="730"/>
      <c r="D171" s="730"/>
      <c r="E171" s="730"/>
      <c r="F171" s="730"/>
      <c r="G171" s="730"/>
      <c r="H171" s="730"/>
      <c r="I171" s="730"/>
      <c r="J171" s="730"/>
      <c r="K171" s="730"/>
      <c r="L171" s="730"/>
      <c r="M171" s="730"/>
      <c r="N171" s="730"/>
      <c r="O171" s="730"/>
      <c r="P171" s="730"/>
    </row>
    <row r="172" spans="2:17" x14ac:dyDescent="0.2">
      <c r="B172" s="730"/>
      <c r="C172" s="730"/>
      <c r="D172" s="730"/>
      <c r="E172" s="730"/>
      <c r="F172" s="730"/>
      <c r="G172" s="730"/>
      <c r="H172" s="730"/>
      <c r="I172" s="730"/>
      <c r="J172" s="730"/>
      <c r="K172" s="730"/>
      <c r="L172" s="730"/>
      <c r="M172" s="730"/>
      <c r="N172" s="730"/>
      <c r="O172" s="730"/>
      <c r="P172" s="730"/>
    </row>
    <row r="173" spans="2:17" x14ac:dyDescent="0.2">
      <c r="B173" s="730"/>
      <c r="C173" s="730"/>
      <c r="D173" s="730"/>
      <c r="E173" s="730"/>
      <c r="F173" s="730"/>
      <c r="G173" s="730"/>
      <c r="H173" s="730"/>
      <c r="I173" s="730"/>
      <c r="J173" s="730"/>
      <c r="K173" s="730"/>
      <c r="L173" s="730"/>
      <c r="M173" s="730"/>
      <c r="N173" s="730"/>
      <c r="O173" s="730"/>
      <c r="P173" s="730"/>
    </row>
    <row r="174" spans="2:17" x14ac:dyDescent="0.2">
      <c r="B174" s="730"/>
      <c r="C174" s="730"/>
      <c r="D174" s="730"/>
      <c r="E174" s="730"/>
      <c r="F174" s="730"/>
      <c r="G174" s="730"/>
      <c r="H174" s="730"/>
      <c r="I174" s="730"/>
      <c r="J174" s="730"/>
      <c r="K174" s="730"/>
      <c r="L174" s="730"/>
      <c r="M174" s="730"/>
      <c r="N174" s="730"/>
      <c r="O174" s="730"/>
      <c r="P174" s="730"/>
    </row>
    <row r="175" spans="2:17" x14ac:dyDescent="0.2">
      <c r="B175" s="730"/>
      <c r="C175" s="730"/>
      <c r="D175" s="730"/>
      <c r="E175" s="730"/>
      <c r="F175" s="730"/>
      <c r="G175" s="730"/>
      <c r="H175" s="730"/>
      <c r="I175" s="730"/>
      <c r="J175" s="730"/>
      <c r="K175" s="730"/>
      <c r="L175" s="730"/>
      <c r="M175" s="730"/>
      <c r="N175" s="730"/>
      <c r="O175" s="730"/>
      <c r="P175" s="730"/>
    </row>
    <row r="176" spans="2:17" x14ac:dyDescent="0.2">
      <c r="B176" s="730"/>
      <c r="C176" s="730"/>
      <c r="D176" s="730"/>
      <c r="E176" s="730"/>
      <c r="F176" s="730"/>
      <c r="G176" s="730"/>
      <c r="H176" s="730"/>
      <c r="I176" s="730"/>
      <c r="J176" s="730"/>
      <c r="K176" s="730"/>
      <c r="L176" s="730"/>
      <c r="M176" s="730"/>
      <c r="N176" s="730"/>
      <c r="O176" s="730"/>
      <c r="P176" s="730"/>
    </row>
    <row r="177" spans="2:16" x14ac:dyDescent="0.2">
      <c r="B177" s="730"/>
      <c r="C177" s="730"/>
      <c r="D177" s="730"/>
      <c r="E177" s="730"/>
      <c r="F177" s="730"/>
      <c r="G177" s="730"/>
      <c r="H177" s="730"/>
      <c r="I177" s="730"/>
      <c r="J177" s="730"/>
      <c r="K177" s="730"/>
      <c r="L177" s="730"/>
      <c r="M177" s="730"/>
      <c r="N177" s="730"/>
      <c r="O177" s="730"/>
      <c r="P177" s="730"/>
    </row>
    <row r="178" spans="2:16" x14ac:dyDescent="0.2">
      <c r="B178" s="730"/>
      <c r="C178" s="730"/>
      <c r="D178" s="730"/>
      <c r="E178" s="730"/>
      <c r="F178" s="730"/>
      <c r="G178" s="730"/>
      <c r="H178" s="730"/>
      <c r="I178" s="730"/>
      <c r="J178" s="730"/>
      <c r="K178" s="730"/>
      <c r="L178" s="730"/>
      <c r="M178" s="730"/>
      <c r="N178" s="730"/>
      <c r="O178" s="730"/>
      <c r="P178" s="730"/>
    </row>
    <row r="179" spans="2:16" x14ac:dyDescent="0.2">
      <c r="B179" s="730"/>
      <c r="C179" s="730"/>
      <c r="D179" s="730"/>
      <c r="E179" s="730"/>
      <c r="F179" s="730"/>
      <c r="G179" s="730"/>
      <c r="H179" s="730"/>
      <c r="I179" s="730"/>
      <c r="J179" s="730"/>
      <c r="K179" s="730"/>
      <c r="L179" s="730"/>
      <c r="M179" s="730"/>
      <c r="N179" s="730"/>
      <c r="O179" s="730"/>
      <c r="P179" s="730"/>
    </row>
    <row r="180" spans="2:16" x14ac:dyDescent="0.2">
      <c r="B180" s="730"/>
      <c r="C180" s="730"/>
      <c r="D180" s="730"/>
      <c r="E180" s="730"/>
      <c r="F180" s="730"/>
      <c r="G180" s="730"/>
      <c r="H180" s="730"/>
      <c r="I180" s="730"/>
      <c r="J180" s="730"/>
      <c r="K180" s="730"/>
      <c r="L180" s="730"/>
      <c r="M180" s="730"/>
      <c r="N180" s="730"/>
      <c r="O180" s="730"/>
      <c r="P180" s="730"/>
    </row>
    <row r="181" spans="2:16" x14ac:dyDescent="0.2">
      <c r="B181" s="730"/>
      <c r="C181" s="730"/>
      <c r="D181" s="730"/>
      <c r="E181" s="730"/>
      <c r="F181" s="730"/>
      <c r="G181" s="730"/>
      <c r="H181" s="730"/>
      <c r="I181" s="730"/>
      <c r="J181" s="730"/>
      <c r="K181" s="730"/>
      <c r="L181" s="730"/>
      <c r="M181" s="730"/>
      <c r="N181" s="730"/>
      <c r="O181" s="730"/>
      <c r="P181" s="730"/>
    </row>
    <row r="182" spans="2:16" x14ac:dyDescent="0.2">
      <c r="B182" s="730"/>
      <c r="C182" s="730"/>
      <c r="D182" s="730"/>
      <c r="E182" s="730"/>
      <c r="F182" s="730"/>
      <c r="G182" s="730"/>
      <c r="H182" s="730"/>
      <c r="I182" s="730"/>
      <c r="J182" s="730"/>
      <c r="K182" s="730"/>
      <c r="L182" s="730"/>
      <c r="M182" s="730"/>
      <c r="N182" s="730"/>
      <c r="O182" s="730"/>
      <c r="P182" s="730"/>
    </row>
    <row r="183" spans="2:16" x14ac:dyDescent="0.2">
      <c r="B183" s="730"/>
      <c r="C183" s="730"/>
      <c r="D183" s="730"/>
      <c r="E183" s="730"/>
      <c r="F183" s="730"/>
      <c r="G183" s="730"/>
      <c r="H183" s="730"/>
      <c r="I183" s="730"/>
      <c r="J183" s="730"/>
      <c r="K183" s="730"/>
      <c r="L183" s="730"/>
      <c r="M183" s="730"/>
      <c r="N183" s="730"/>
      <c r="O183" s="730"/>
      <c r="P183" s="730"/>
    </row>
    <row r="184" spans="2:16" x14ac:dyDescent="0.2">
      <c r="B184" s="730"/>
      <c r="C184" s="730"/>
      <c r="D184" s="730"/>
      <c r="E184" s="730"/>
      <c r="F184" s="730"/>
      <c r="G184" s="730"/>
      <c r="H184" s="730"/>
      <c r="I184" s="730"/>
      <c r="J184" s="730"/>
      <c r="K184" s="730"/>
      <c r="L184" s="730"/>
      <c r="M184" s="730"/>
      <c r="N184" s="730"/>
      <c r="O184" s="730"/>
      <c r="P184" s="730"/>
    </row>
    <row r="185" spans="2:16" x14ac:dyDescent="0.2">
      <c r="B185" s="730"/>
      <c r="C185" s="730"/>
      <c r="D185" s="730"/>
      <c r="E185" s="730"/>
      <c r="F185" s="730"/>
      <c r="G185" s="730"/>
      <c r="H185" s="730"/>
      <c r="I185" s="730"/>
      <c r="J185" s="730"/>
      <c r="K185" s="730"/>
      <c r="L185" s="730"/>
      <c r="M185" s="730"/>
      <c r="N185" s="730"/>
      <c r="O185" s="730"/>
      <c r="P185" s="730"/>
    </row>
    <row r="186" spans="2:16" x14ac:dyDescent="0.2">
      <c r="B186" s="730"/>
      <c r="C186" s="730"/>
      <c r="D186" s="730"/>
      <c r="E186" s="730"/>
      <c r="F186" s="730"/>
      <c r="G186" s="730"/>
      <c r="H186" s="730"/>
      <c r="I186" s="730"/>
      <c r="J186" s="730"/>
      <c r="K186" s="730"/>
      <c r="L186" s="730"/>
      <c r="M186" s="730"/>
      <c r="N186" s="730"/>
      <c r="O186" s="730"/>
      <c r="P186" s="730"/>
    </row>
  </sheetData>
  <mergeCells count="85">
    <mergeCell ref="P2:P3"/>
    <mergeCell ref="B4:O4"/>
    <mergeCell ref="P4:P5"/>
    <mergeCell ref="B5:O5"/>
    <mergeCell ref="F2:O2"/>
    <mergeCell ref="F3:O3"/>
    <mergeCell ref="B14:P14"/>
    <mergeCell ref="B6:K6"/>
    <mergeCell ref="M6:P6"/>
    <mergeCell ref="B7:K7"/>
    <mergeCell ref="M7:P7"/>
    <mergeCell ref="B8:K8"/>
    <mergeCell ref="B9:K9"/>
    <mergeCell ref="B10:K10"/>
    <mergeCell ref="L10:P10"/>
    <mergeCell ref="B11:K11"/>
    <mergeCell ref="B12:K12"/>
    <mergeCell ref="B13:K13"/>
    <mergeCell ref="M8:P8"/>
    <mergeCell ref="M9:P9"/>
    <mergeCell ref="B15:K15"/>
    <mergeCell ref="L15:N15"/>
    <mergeCell ref="O15:P15"/>
    <mergeCell ref="B16:K16"/>
    <mergeCell ref="L16:N16"/>
    <mergeCell ref="O16:P16"/>
    <mergeCell ref="B23:P23"/>
    <mergeCell ref="B17:K17"/>
    <mergeCell ref="L17:N17"/>
    <mergeCell ref="O17:P17"/>
    <mergeCell ref="B18:K18"/>
    <mergeCell ref="L18:N18"/>
    <mergeCell ref="O18:P18"/>
    <mergeCell ref="B19:K19"/>
    <mergeCell ref="L19:N19"/>
    <mergeCell ref="O19:P19"/>
    <mergeCell ref="B21:P21"/>
    <mergeCell ref="B22:P22"/>
    <mergeCell ref="B20:P20"/>
    <mergeCell ref="N151:P151"/>
    <mergeCell ref="B24:K24"/>
    <mergeCell ref="L24:L27"/>
    <mergeCell ref="M24:O24"/>
    <mergeCell ref="B25:K25"/>
    <mergeCell ref="M25:M27"/>
    <mergeCell ref="N25:N27"/>
    <mergeCell ref="O25:O27"/>
    <mergeCell ref="B26:K26"/>
    <mergeCell ref="B27:K27"/>
    <mergeCell ref="B28:K28"/>
    <mergeCell ref="M148:P148"/>
    <mergeCell ref="M149:P149"/>
    <mergeCell ref="M150:P150"/>
    <mergeCell ref="M146:O146"/>
    <mergeCell ref="N152:P152"/>
    <mergeCell ref="M153:P153"/>
    <mergeCell ref="M154:P154"/>
    <mergeCell ref="B155:L155"/>
    <mergeCell ref="M155:P155"/>
    <mergeCell ref="B161:P161"/>
    <mergeCell ref="M162:N162"/>
    <mergeCell ref="B162:C162"/>
    <mergeCell ref="D162:L162"/>
    <mergeCell ref="B163:C163"/>
    <mergeCell ref="D163:L163"/>
    <mergeCell ref="M163:N163"/>
    <mergeCell ref="B167:C167"/>
    <mergeCell ref="M167:N167"/>
    <mergeCell ref="M168:N168"/>
    <mergeCell ref="M169:N169"/>
    <mergeCell ref="B168:C168"/>
    <mergeCell ref="B169:C169"/>
    <mergeCell ref="B164:C164"/>
    <mergeCell ref="B165:C165"/>
    <mergeCell ref="B166:C166"/>
    <mergeCell ref="M164:N164"/>
    <mergeCell ref="M165:N165"/>
    <mergeCell ref="M166:N166"/>
    <mergeCell ref="B159:P159"/>
    <mergeCell ref="B160:P160"/>
    <mergeCell ref="B156:L156"/>
    <mergeCell ref="N156:P156"/>
    <mergeCell ref="B157:L157"/>
    <mergeCell ref="N157:P157"/>
    <mergeCell ref="B158:P158"/>
  </mergeCells>
  <pageMargins left="0.51181102362204722" right="0.27559055118110237" top="0.51181102362204722" bottom="0.47244094488188981" header="0.31496062992125984" footer="0.31496062992125984"/>
  <pageSetup paperSize="5" scale="74" orientation="portrait" horizontalDpi="4294967293" verticalDpi="0" r:id="rId1"/>
  <rowBreaks count="1" manualBreakCount="1">
    <brk id="83" min="1" max="15"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Z130"/>
  <sheetViews>
    <sheetView view="pageBreakPreview" topLeftCell="E50" zoomScale="70" zoomScaleNormal="100" zoomScaleSheetLayoutView="70" workbookViewId="0">
      <selection activeCell="M41" sqref="M41"/>
    </sheetView>
  </sheetViews>
  <sheetFormatPr defaultColWidth="8.7109375" defaultRowHeight="12.75" x14ac:dyDescent="0.2"/>
  <cols>
    <col min="1" max="1" width="6.5703125" style="715" customWidth="1"/>
    <col min="2" max="11" width="2.7109375" style="715" customWidth="1"/>
    <col min="12" max="12" width="43.140625" style="715" customWidth="1"/>
    <col min="13" max="13" width="10.42578125" style="1072" customWidth="1"/>
    <col min="14" max="14" width="11.5703125" style="715" customWidth="1"/>
    <col min="15" max="15" width="13.5703125" style="715" customWidth="1"/>
    <col min="16" max="16" width="16.5703125" style="715" customWidth="1"/>
    <col min="17" max="17" width="11.5703125" style="715" customWidth="1"/>
    <col min="18" max="18" width="12" style="715" customWidth="1"/>
    <col min="19" max="19" width="40.28515625" style="715" customWidth="1"/>
    <col min="20" max="20" width="2.42578125" style="715" customWidth="1"/>
    <col min="21" max="21" width="30.5703125" style="715" customWidth="1"/>
    <col min="22" max="24" width="8.7109375" style="715"/>
    <col min="25" max="25" width="12" style="715" customWidth="1"/>
    <col min="26" max="26" width="12.28515625" style="715" customWidth="1"/>
    <col min="27" max="16384" width="8.7109375" style="715"/>
  </cols>
  <sheetData>
    <row r="1" spans="2:22" ht="13.5" thickBot="1" x14ac:dyDescent="0.25"/>
    <row r="2" spans="2:22" ht="18.95" customHeight="1" thickTop="1" x14ac:dyDescent="0.2">
      <c r="B2" s="579"/>
      <c r="C2" s="580"/>
      <c r="E2" s="580"/>
      <c r="F2" s="2825" t="s">
        <v>182</v>
      </c>
      <c r="G2" s="2825"/>
      <c r="H2" s="2825"/>
      <c r="I2" s="2825"/>
      <c r="J2" s="2825"/>
      <c r="K2" s="2825"/>
      <c r="L2" s="2825"/>
      <c r="M2" s="2825"/>
      <c r="N2" s="2825"/>
      <c r="O2" s="2826"/>
      <c r="P2" s="2178" t="s">
        <v>67</v>
      </c>
    </row>
    <row r="3" spans="2:22" ht="18.95" customHeight="1" x14ac:dyDescent="0.2">
      <c r="B3" s="581"/>
      <c r="C3" s="582"/>
      <c r="E3" s="582"/>
      <c r="F3" s="2827" t="s">
        <v>183</v>
      </c>
      <c r="G3" s="2827"/>
      <c r="H3" s="2827"/>
      <c r="I3" s="2827"/>
      <c r="J3" s="2827"/>
      <c r="K3" s="2827"/>
      <c r="L3" s="2827"/>
      <c r="M3" s="2827"/>
      <c r="N3" s="2827"/>
      <c r="O3" s="2828"/>
      <c r="P3" s="2464"/>
    </row>
    <row r="4" spans="2:22" ht="12.95" customHeight="1" x14ac:dyDescent="0.2">
      <c r="B4" s="2822" t="s">
        <v>33</v>
      </c>
      <c r="C4" s="2823"/>
      <c r="D4" s="2823"/>
      <c r="E4" s="2823"/>
      <c r="F4" s="2823"/>
      <c r="G4" s="2823"/>
      <c r="H4" s="2823"/>
      <c r="I4" s="2823"/>
      <c r="J4" s="2823"/>
      <c r="K4" s="2823"/>
      <c r="L4" s="2823"/>
      <c r="M4" s="2823"/>
      <c r="N4" s="2823"/>
      <c r="O4" s="2824"/>
      <c r="P4" s="2464" t="s">
        <v>30</v>
      </c>
    </row>
    <row r="5" spans="2:22" ht="12.95" customHeight="1" thickBot="1" x14ac:dyDescent="0.25">
      <c r="B5" s="2373" t="str">
        <f>'RECAP APBD'!B5:F5</f>
        <v>Tahun Anggaran 2020</v>
      </c>
      <c r="C5" s="2374"/>
      <c r="D5" s="2374"/>
      <c r="E5" s="2374"/>
      <c r="F5" s="2374"/>
      <c r="G5" s="2374"/>
      <c r="H5" s="2374"/>
      <c r="I5" s="2374"/>
      <c r="J5" s="2374"/>
      <c r="K5" s="2374"/>
      <c r="L5" s="2374"/>
      <c r="M5" s="2374"/>
      <c r="N5" s="2374"/>
      <c r="O5" s="2470"/>
      <c r="P5" s="2179"/>
    </row>
    <row r="6" spans="2:22" ht="12.95" customHeight="1" x14ac:dyDescent="0.2">
      <c r="B6" s="2820" t="s">
        <v>453</v>
      </c>
      <c r="C6" s="2821"/>
      <c r="D6" s="2821"/>
      <c r="E6" s="2821"/>
      <c r="F6" s="2821"/>
      <c r="G6" s="2821"/>
      <c r="H6" s="2821"/>
      <c r="I6" s="2821"/>
      <c r="J6" s="2821"/>
      <c r="K6" s="2821"/>
      <c r="L6" s="1097" t="s">
        <v>442</v>
      </c>
      <c r="M6" s="2541" t="s">
        <v>437</v>
      </c>
      <c r="N6" s="2541"/>
      <c r="O6" s="2541"/>
      <c r="P6" s="2542"/>
    </row>
    <row r="7" spans="2:22" ht="12.95" customHeight="1" x14ac:dyDescent="0.2">
      <c r="B7" s="2807" t="s">
        <v>19</v>
      </c>
      <c r="C7" s="2808"/>
      <c r="D7" s="2808"/>
      <c r="E7" s="2808"/>
      <c r="F7" s="2808"/>
      <c r="G7" s="2808"/>
      <c r="H7" s="2808"/>
      <c r="I7" s="2808"/>
      <c r="J7" s="2808"/>
      <c r="K7" s="2808"/>
      <c r="L7" s="1096" t="s">
        <v>441</v>
      </c>
      <c r="M7" s="2541" t="s">
        <v>466</v>
      </c>
      <c r="N7" s="2541"/>
      <c r="O7" s="2541"/>
      <c r="P7" s="2542"/>
    </row>
    <row r="8" spans="2:22" ht="30.6" customHeight="1" x14ac:dyDescent="0.2">
      <c r="B8" s="2814" t="s">
        <v>32</v>
      </c>
      <c r="C8" s="2815"/>
      <c r="D8" s="2815"/>
      <c r="E8" s="2815"/>
      <c r="F8" s="2815"/>
      <c r="G8" s="2815"/>
      <c r="H8" s="2815"/>
      <c r="I8" s="2815"/>
      <c r="J8" s="2815"/>
      <c r="K8" s="2815"/>
      <c r="L8" s="1598" t="s">
        <v>639</v>
      </c>
      <c r="M8" s="2818" t="s">
        <v>637</v>
      </c>
      <c r="N8" s="2818"/>
      <c r="O8" s="2818"/>
      <c r="P8" s="2819"/>
    </row>
    <row r="9" spans="2:22" ht="30.95" customHeight="1" x14ac:dyDescent="0.2">
      <c r="B9" s="2811" t="s">
        <v>20</v>
      </c>
      <c r="C9" s="2812"/>
      <c r="D9" s="2812"/>
      <c r="E9" s="2812"/>
      <c r="F9" s="2812"/>
      <c r="G9" s="2812"/>
      <c r="H9" s="2812"/>
      <c r="I9" s="2812"/>
      <c r="J9" s="2812"/>
      <c r="K9" s="2812"/>
      <c r="L9" s="1599" t="s">
        <v>640</v>
      </c>
      <c r="M9" s="2818" t="s">
        <v>638</v>
      </c>
      <c r="N9" s="2818"/>
      <c r="O9" s="2818"/>
      <c r="P9" s="2819"/>
      <c r="R9" s="2813"/>
      <c r="S9" s="2813"/>
      <c r="T9" s="2813"/>
      <c r="U9" s="2813"/>
      <c r="V9" s="2813"/>
    </row>
    <row r="10" spans="2:22" ht="29.45" customHeight="1" x14ac:dyDescent="0.2">
      <c r="B10" s="2814" t="s">
        <v>221</v>
      </c>
      <c r="C10" s="2815"/>
      <c r="D10" s="2815"/>
      <c r="E10" s="2815"/>
      <c r="F10" s="2815"/>
      <c r="G10" s="2815"/>
      <c r="H10" s="2815"/>
      <c r="I10" s="2815"/>
      <c r="J10" s="2815"/>
      <c r="K10" s="2815"/>
      <c r="L10" s="2816" t="s">
        <v>917</v>
      </c>
      <c r="M10" s="2816"/>
      <c r="N10" s="2816"/>
      <c r="O10" s="2816"/>
      <c r="P10" s="2817"/>
      <c r="R10" s="730"/>
      <c r="S10" s="730"/>
      <c r="T10" s="730"/>
      <c r="U10" s="730"/>
      <c r="V10" s="730"/>
    </row>
    <row r="11" spans="2:22" ht="12.95" customHeight="1" x14ac:dyDescent="0.2">
      <c r="B11" s="2807" t="s">
        <v>222</v>
      </c>
      <c r="C11" s="2808"/>
      <c r="D11" s="2808"/>
      <c r="E11" s="2808"/>
      <c r="F11" s="2808"/>
      <c r="G11" s="2808"/>
      <c r="H11" s="2808"/>
      <c r="I11" s="2808"/>
      <c r="J11" s="2808"/>
      <c r="K11" s="2808"/>
      <c r="L11" s="584">
        <f>P30</f>
        <v>0</v>
      </c>
      <c r="M11" s="583"/>
      <c r="N11" s="584"/>
      <c r="O11" s="584"/>
      <c r="P11" s="585"/>
      <c r="R11" s="730"/>
      <c r="S11" s="730"/>
      <c r="T11" s="730"/>
      <c r="U11" s="730"/>
      <c r="V11" s="730"/>
    </row>
    <row r="12" spans="2:22" ht="12.95" customHeight="1" x14ac:dyDescent="0.2">
      <c r="B12" s="2807" t="s">
        <v>223</v>
      </c>
      <c r="C12" s="2808"/>
      <c r="D12" s="2808"/>
      <c r="E12" s="2808"/>
      <c r="F12" s="2808"/>
      <c r="G12" s="2808"/>
      <c r="H12" s="2808"/>
      <c r="I12" s="2808"/>
      <c r="J12" s="2808"/>
      <c r="K12" s="2808"/>
      <c r="L12" s="586">
        <f>P29</f>
        <v>0</v>
      </c>
      <c r="M12" s="583"/>
      <c r="N12" s="584"/>
      <c r="O12" s="584"/>
      <c r="P12" s="585"/>
      <c r="R12" s="730"/>
      <c r="S12" s="730"/>
      <c r="T12" s="730"/>
      <c r="U12" s="730"/>
      <c r="V12" s="730"/>
    </row>
    <row r="13" spans="2:22" ht="12.95" customHeight="1" x14ac:dyDescent="0.2">
      <c r="B13" s="2807" t="s">
        <v>224</v>
      </c>
      <c r="C13" s="2808"/>
      <c r="D13" s="2808"/>
      <c r="E13" s="2808"/>
      <c r="F13" s="2808"/>
      <c r="G13" s="2808"/>
      <c r="H13" s="2808"/>
      <c r="I13" s="2808"/>
      <c r="J13" s="2808"/>
      <c r="K13" s="2808"/>
      <c r="L13" s="586"/>
      <c r="M13" s="583"/>
      <c r="N13" s="584"/>
      <c r="O13" s="584"/>
      <c r="P13" s="585"/>
      <c r="R13" s="730"/>
      <c r="S13" s="730"/>
      <c r="T13" s="730"/>
      <c r="U13" s="730"/>
      <c r="V13" s="730"/>
    </row>
    <row r="14" spans="2:22" ht="12.95" customHeight="1" x14ac:dyDescent="0.2">
      <c r="B14" s="2809" t="s">
        <v>225</v>
      </c>
      <c r="C14" s="2499"/>
      <c r="D14" s="2499"/>
      <c r="E14" s="2499"/>
      <c r="F14" s="2499"/>
      <c r="G14" s="2499"/>
      <c r="H14" s="2499"/>
      <c r="I14" s="2499"/>
      <c r="J14" s="2499"/>
      <c r="K14" s="2499"/>
      <c r="L14" s="2499"/>
      <c r="M14" s="2499"/>
      <c r="N14" s="2499"/>
      <c r="O14" s="2499"/>
      <c r="P14" s="2810"/>
      <c r="R14" s="730"/>
      <c r="S14" s="730"/>
      <c r="T14" s="730"/>
      <c r="U14" s="730"/>
      <c r="V14" s="730"/>
    </row>
    <row r="15" spans="2:22" ht="12.95" customHeight="1" x14ac:dyDescent="0.2">
      <c r="B15" s="2809" t="s">
        <v>36</v>
      </c>
      <c r="C15" s="2499"/>
      <c r="D15" s="2499"/>
      <c r="E15" s="2499"/>
      <c r="F15" s="2499"/>
      <c r="G15" s="2499"/>
      <c r="H15" s="2499"/>
      <c r="I15" s="2499"/>
      <c r="J15" s="2499"/>
      <c r="K15" s="2743"/>
      <c r="L15" s="2742" t="s">
        <v>226</v>
      </c>
      <c r="M15" s="2499"/>
      <c r="N15" s="2743"/>
      <c r="O15" s="2742" t="s">
        <v>227</v>
      </c>
      <c r="P15" s="2810"/>
      <c r="R15" s="730"/>
      <c r="S15" s="730"/>
      <c r="T15" s="730"/>
      <c r="U15" s="730"/>
      <c r="V15" s="730"/>
    </row>
    <row r="16" spans="2:22" ht="12.95" customHeight="1" x14ac:dyDescent="0.2">
      <c r="B16" s="2800" t="s">
        <v>37</v>
      </c>
      <c r="C16" s="2801"/>
      <c r="D16" s="2801"/>
      <c r="E16" s="2801"/>
      <c r="F16" s="2801"/>
      <c r="G16" s="2801"/>
      <c r="H16" s="2801"/>
      <c r="I16" s="2801"/>
      <c r="J16" s="2801"/>
      <c r="K16" s="2802"/>
      <c r="L16" s="2795" t="s">
        <v>783</v>
      </c>
      <c r="M16" s="2796"/>
      <c r="N16" s="2797"/>
      <c r="O16" s="2803">
        <v>1</v>
      </c>
      <c r="P16" s="2804"/>
      <c r="R16" s="2506"/>
      <c r="S16" s="2506"/>
      <c r="T16" s="2506"/>
      <c r="U16" s="2506"/>
      <c r="V16" s="730"/>
    </row>
    <row r="17" spans="2:22" ht="12.95" customHeight="1" x14ac:dyDescent="0.2">
      <c r="B17" s="2800" t="s">
        <v>228</v>
      </c>
      <c r="C17" s="2801"/>
      <c r="D17" s="2801"/>
      <c r="E17" s="2801"/>
      <c r="F17" s="2801"/>
      <c r="G17" s="2801"/>
      <c r="H17" s="2801"/>
      <c r="I17" s="2801"/>
      <c r="J17" s="2801"/>
      <c r="K17" s="2802"/>
      <c r="L17" s="2725" t="s">
        <v>287</v>
      </c>
      <c r="M17" s="2726"/>
      <c r="N17" s="2727"/>
      <c r="O17" s="2805">
        <f>P29</f>
        <v>0</v>
      </c>
      <c r="P17" s="2806"/>
      <c r="R17" s="2506"/>
      <c r="S17" s="2506"/>
      <c r="T17" s="2506"/>
      <c r="U17" s="2506"/>
      <c r="V17" s="730"/>
    </row>
    <row r="18" spans="2:22" ht="26.45" customHeight="1" x14ac:dyDescent="0.2">
      <c r="B18" s="2792" t="s">
        <v>229</v>
      </c>
      <c r="C18" s="2793"/>
      <c r="D18" s="2793"/>
      <c r="E18" s="2793"/>
      <c r="F18" s="2793"/>
      <c r="G18" s="2793"/>
      <c r="H18" s="2793"/>
      <c r="I18" s="2793"/>
      <c r="J18" s="2793"/>
      <c r="K18" s="2794"/>
      <c r="L18" s="2795" t="s">
        <v>728</v>
      </c>
      <c r="M18" s="2796"/>
      <c r="N18" s="2797"/>
      <c r="O18" s="2798" t="s">
        <v>691</v>
      </c>
      <c r="P18" s="2799"/>
      <c r="R18" s="2506"/>
      <c r="S18" s="2506"/>
      <c r="T18" s="2506"/>
      <c r="U18" s="2506"/>
      <c r="V18" s="730"/>
    </row>
    <row r="19" spans="2:22" ht="30.6" customHeight="1" x14ac:dyDescent="0.2">
      <c r="B19" s="2792" t="s">
        <v>230</v>
      </c>
      <c r="C19" s="2793"/>
      <c r="D19" s="2793"/>
      <c r="E19" s="2793"/>
      <c r="F19" s="2793"/>
      <c r="G19" s="2793"/>
      <c r="H19" s="2793"/>
      <c r="I19" s="2793"/>
      <c r="J19" s="2793"/>
      <c r="K19" s="2794"/>
      <c r="L19" s="2795" t="s">
        <v>922</v>
      </c>
      <c r="M19" s="2796"/>
      <c r="N19" s="2797"/>
      <c r="O19" s="2798">
        <v>0.94</v>
      </c>
      <c r="P19" s="2799"/>
      <c r="R19" s="2506"/>
      <c r="S19" s="2506"/>
      <c r="T19" s="2506"/>
      <c r="U19" s="2506"/>
      <c r="V19" s="730"/>
    </row>
    <row r="20" spans="2:22" s="1352" customFormat="1" ht="6.95" customHeight="1" x14ac:dyDescent="0.2">
      <c r="B20" s="2779"/>
      <c r="C20" s="2780"/>
      <c r="D20" s="2780"/>
      <c r="E20" s="2780"/>
      <c r="F20" s="2780"/>
      <c r="G20" s="2780"/>
      <c r="H20" s="2780"/>
      <c r="I20" s="2780"/>
      <c r="J20" s="2780"/>
      <c r="K20" s="2780"/>
      <c r="L20" s="2780"/>
      <c r="M20" s="2780"/>
      <c r="N20" s="2780"/>
      <c r="O20" s="2780"/>
      <c r="P20" s="2781"/>
    </row>
    <row r="21" spans="2:22" ht="12.95" customHeight="1" x14ac:dyDescent="0.2">
      <c r="B21" s="2784" t="s">
        <v>923</v>
      </c>
      <c r="C21" s="2785"/>
      <c r="D21" s="2785"/>
      <c r="E21" s="2785"/>
      <c r="F21" s="2785"/>
      <c r="G21" s="2785"/>
      <c r="H21" s="2785"/>
      <c r="I21" s="2785"/>
      <c r="J21" s="2785"/>
      <c r="K21" s="2785"/>
      <c r="L21" s="2785"/>
      <c r="M21" s="2785"/>
      <c r="N21" s="2785"/>
      <c r="O21" s="2785"/>
      <c r="P21" s="2786"/>
    </row>
    <row r="22" spans="2:22" ht="12.95" customHeight="1" x14ac:dyDescent="0.2">
      <c r="B22" s="2787" t="s">
        <v>231</v>
      </c>
      <c r="C22" s="2616"/>
      <c r="D22" s="2616"/>
      <c r="E22" s="2616"/>
      <c r="F22" s="2616"/>
      <c r="G22" s="2616"/>
      <c r="H22" s="2616"/>
      <c r="I22" s="2616"/>
      <c r="J22" s="2616"/>
      <c r="K22" s="2616"/>
      <c r="L22" s="2616"/>
      <c r="M22" s="2616"/>
      <c r="N22" s="2616"/>
      <c r="O22" s="2616"/>
      <c r="P22" s="2788"/>
    </row>
    <row r="23" spans="2:22" ht="12.95" customHeight="1" x14ac:dyDescent="0.2">
      <c r="B23" s="2789" t="s">
        <v>38</v>
      </c>
      <c r="C23" s="2790"/>
      <c r="D23" s="2790"/>
      <c r="E23" s="2790"/>
      <c r="F23" s="2790"/>
      <c r="G23" s="2790"/>
      <c r="H23" s="2790"/>
      <c r="I23" s="2790"/>
      <c r="J23" s="2790"/>
      <c r="K23" s="2790"/>
      <c r="L23" s="2790"/>
      <c r="M23" s="2790"/>
      <c r="N23" s="2790"/>
      <c r="O23" s="2790"/>
      <c r="P23" s="2791"/>
    </row>
    <row r="24" spans="2:22" ht="12.95" customHeight="1" x14ac:dyDescent="0.2">
      <c r="B24" s="2493"/>
      <c r="C24" s="2264"/>
      <c r="D24" s="2264"/>
      <c r="E24" s="2264"/>
      <c r="F24" s="2264"/>
      <c r="G24" s="2264"/>
      <c r="H24" s="2264"/>
      <c r="I24" s="2264"/>
      <c r="J24" s="2264"/>
      <c r="K24" s="2494"/>
      <c r="L24" s="2603" t="s">
        <v>191</v>
      </c>
      <c r="M24" s="2742" t="s">
        <v>198</v>
      </c>
      <c r="N24" s="2499"/>
      <c r="O24" s="2743"/>
      <c r="P24" s="718"/>
    </row>
    <row r="25" spans="2:22" ht="12.95" customHeight="1" x14ac:dyDescent="0.2">
      <c r="B25" s="2448" t="s">
        <v>189</v>
      </c>
      <c r="C25" s="2449"/>
      <c r="D25" s="2449"/>
      <c r="E25" s="2449"/>
      <c r="F25" s="2449"/>
      <c r="G25" s="2449"/>
      <c r="H25" s="2449"/>
      <c r="I25" s="2449"/>
      <c r="J25" s="2449"/>
      <c r="K25" s="2450"/>
      <c r="L25" s="2405"/>
      <c r="M25" s="2750" t="s">
        <v>200</v>
      </c>
      <c r="N25" s="2603" t="s">
        <v>26</v>
      </c>
      <c r="O25" s="2603" t="s">
        <v>217</v>
      </c>
      <c r="P25" s="78" t="s">
        <v>192</v>
      </c>
    </row>
    <row r="26" spans="2:22" ht="12.95" customHeight="1" x14ac:dyDescent="0.2">
      <c r="B26" s="2448" t="s">
        <v>197</v>
      </c>
      <c r="C26" s="2449"/>
      <c r="D26" s="2449"/>
      <c r="E26" s="2449"/>
      <c r="F26" s="2449"/>
      <c r="G26" s="2449"/>
      <c r="H26" s="2449"/>
      <c r="I26" s="2449"/>
      <c r="J26" s="2449"/>
      <c r="K26" s="2450"/>
      <c r="L26" s="2405"/>
      <c r="M26" s="2496"/>
      <c r="N26" s="2405"/>
      <c r="O26" s="2405"/>
      <c r="P26" s="78" t="s">
        <v>193</v>
      </c>
    </row>
    <row r="27" spans="2:22" ht="12.95" customHeight="1" x14ac:dyDescent="0.2">
      <c r="B27" s="2451"/>
      <c r="C27" s="2452"/>
      <c r="D27" s="2452"/>
      <c r="E27" s="2452"/>
      <c r="F27" s="2452"/>
      <c r="G27" s="2452"/>
      <c r="H27" s="2452"/>
      <c r="I27" s="2452"/>
      <c r="J27" s="2452"/>
      <c r="K27" s="2453"/>
      <c r="L27" s="2406"/>
      <c r="M27" s="2497"/>
      <c r="N27" s="2406"/>
      <c r="O27" s="2406"/>
      <c r="P27" s="719"/>
    </row>
    <row r="28" spans="2:22" ht="12.95" customHeight="1" thickBot="1" x14ac:dyDescent="0.25">
      <c r="B28" s="2483">
        <v>1</v>
      </c>
      <c r="C28" s="2484"/>
      <c r="D28" s="2484"/>
      <c r="E28" s="2484"/>
      <c r="F28" s="2484"/>
      <c r="G28" s="2484"/>
      <c r="H28" s="2484"/>
      <c r="I28" s="2484"/>
      <c r="J28" s="2484"/>
      <c r="K28" s="2485"/>
      <c r="L28" s="1077">
        <v>2</v>
      </c>
      <c r="M28" s="1077">
        <v>3</v>
      </c>
      <c r="N28" s="1077">
        <v>4</v>
      </c>
      <c r="O28" s="12">
        <v>5</v>
      </c>
      <c r="P28" s="79" t="s">
        <v>24</v>
      </c>
    </row>
    <row r="29" spans="2:22" ht="12.95" customHeight="1" thickTop="1" x14ac:dyDescent="0.2">
      <c r="B29" s="587">
        <v>1</v>
      </c>
      <c r="C29" s="588" t="s">
        <v>440</v>
      </c>
      <c r="D29" s="588" t="s">
        <v>142</v>
      </c>
      <c r="E29" s="589"/>
      <c r="F29" s="590"/>
      <c r="G29" s="590">
        <v>5</v>
      </c>
      <c r="H29" s="590">
        <v>2</v>
      </c>
      <c r="I29" s="590"/>
      <c r="J29" s="590"/>
      <c r="K29" s="590"/>
      <c r="L29" s="591" t="s">
        <v>108</v>
      </c>
      <c r="M29" s="592"/>
      <c r="N29" s="592"/>
      <c r="O29" s="592"/>
      <c r="P29" s="1322">
        <f>P30</f>
        <v>0</v>
      </c>
      <c r="Q29" s="1353"/>
      <c r="R29" s="1055"/>
    </row>
    <row r="30" spans="2:22" ht="26.1" customHeight="1" x14ac:dyDescent="0.2">
      <c r="B30" s="565">
        <v>1</v>
      </c>
      <c r="C30" s="564" t="s">
        <v>440</v>
      </c>
      <c r="D30" s="564" t="s">
        <v>142</v>
      </c>
      <c r="E30" s="617">
        <v>16</v>
      </c>
      <c r="F30" s="564"/>
      <c r="G30" s="563"/>
      <c r="H30" s="563"/>
      <c r="I30" s="563"/>
      <c r="J30" s="563"/>
      <c r="K30" s="563"/>
      <c r="L30" s="593" t="s">
        <v>637</v>
      </c>
      <c r="M30" s="383"/>
      <c r="N30" s="383"/>
      <c r="O30" s="383"/>
      <c r="P30" s="1354">
        <f>P31</f>
        <v>0</v>
      </c>
      <c r="Q30" s="1353"/>
      <c r="R30" s="1055"/>
    </row>
    <row r="31" spans="2:22" ht="26.1" customHeight="1" x14ac:dyDescent="0.2">
      <c r="B31" s="565">
        <v>1</v>
      </c>
      <c r="C31" s="564" t="s">
        <v>440</v>
      </c>
      <c r="D31" s="564" t="s">
        <v>142</v>
      </c>
      <c r="E31" s="617">
        <v>16</v>
      </c>
      <c r="F31" s="617" t="s">
        <v>142</v>
      </c>
      <c r="G31" s="619"/>
      <c r="H31" s="619"/>
      <c r="I31" s="619"/>
      <c r="J31" s="563"/>
      <c r="K31" s="564"/>
      <c r="L31" s="618" t="s">
        <v>1159</v>
      </c>
      <c r="M31" s="383"/>
      <c r="N31" s="383"/>
      <c r="O31" s="383"/>
      <c r="P31" s="1354">
        <f>SUM(P33+P55)</f>
        <v>0</v>
      </c>
    </row>
    <row r="32" spans="2:22" ht="12.95" customHeight="1" x14ac:dyDescent="0.2">
      <c r="B32" s="377"/>
      <c r="C32" s="378"/>
      <c r="D32" s="378"/>
      <c r="E32" s="594"/>
      <c r="F32" s="594"/>
      <c r="G32" s="381"/>
      <c r="H32" s="381"/>
      <c r="I32" s="381"/>
      <c r="J32" s="380"/>
      <c r="K32" s="380"/>
      <c r="L32" s="385"/>
      <c r="M32" s="1331"/>
      <c r="N32" s="1326"/>
      <c r="O32" s="1326"/>
      <c r="P32" s="1324"/>
    </row>
    <row r="33" spans="2:16" ht="12.95" customHeight="1" x14ac:dyDescent="0.2">
      <c r="B33" s="377">
        <v>1</v>
      </c>
      <c r="C33" s="378" t="s">
        <v>440</v>
      </c>
      <c r="D33" s="378" t="s">
        <v>142</v>
      </c>
      <c r="E33" s="379">
        <v>16</v>
      </c>
      <c r="F33" s="379" t="s">
        <v>142</v>
      </c>
      <c r="G33" s="380">
        <v>5</v>
      </c>
      <c r="H33" s="380">
        <v>2</v>
      </c>
      <c r="I33" s="380">
        <v>1</v>
      </c>
      <c r="J33" s="381"/>
      <c r="K33" s="381"/>
      <c r="L33" s="385" t="s">
        <v>86</v>
      </c>
      <c r="M33" s="1331"/>
      <c r="N33" s="1326"/>
      <c r="O33" s="1326"/>
      <c r="P33" s="1355">
        <f>P34</f>
        <v>0</v>
      </c>
    </row>
    <row r="34" spans="2:16" ht="12.95" customHeight="1" x14ac:dyDescent="0.2">
      <c r="B34" s="377">
        <v>1</v>
      </c>
      <c r="C34" s="378" t="s">
        <v>440</v>
      </c>
      <c r="D34" s="378" t="s">
        <v>142</v>
      </c>
      <c r="E34" s="379">
        <v>16</v>
      </c>
      <c r="F34" s="379" t="s">
        <v>142</v>
      </c>
      <c r="G34" s="531">
        <v>5</v>
      </c>
      <c r="H34" s="531">
        <v>2</v>
      </c>
      <c r="I34" s="531">
        <v>1</v>
      </c>
      <c r="J34" s="529" t="s">
        <v>142</v>
      </c>
      <c r="K34" s="531"/>
      <c r="L34" s="595" t="s">
        <v>159</v>
      </c>
      <c r="M34" s="1356"/>
      <c r="N34" s="1357"/>
      <c r="O34" s="1357"/>
      <c r="P34" s="1358">
        <f>SUM(P35+P38)</f>
        <v>0</v>
      </c>
    </row>
    <row r="35" spans="2:16" ht="12.95" customHeight="1" x14ac:dyDescent="0.2">
      <c r="B35" s="377">
        <v>1</v>
      </c>
      <c r="C35" s="378" t="s">
        <v>440</v>
      </c>
      <c r="D35" s="378" t="s">
        <v>142</v>
      </c>
      <c r="E35" s="379">
        <v>16</v>
      </c>
      <c r="F35" s="379" t="s">
        <v>142</v>
      </c>
      <c r="G35" s="531">
        <v>5</v>
      </c>
      <c r="H35" s="531">
        <v>2</v>
      </c>
      <c r="I35" s="531">
        <v>1</v>
      </c>
      <c r="J35" s="529" t="s">
        <v>142</v>
      </c>
      <c r="K35" s="529" t="s">
        <v>142</v>
      </c>
      <c r="L35" s="596" t="s">
        <v>143</v>
      </c>
      <c r="M35" s="1359"/>
      <c r="N35" s="1360"/>
      <c r="O35" s="1360"/>
      <c r="P35" s="1361">
        <f>SUM(P36)</f>
        <v>0</v>
      </c>
    </row>
    <row r="36" spans="2:16" ht="39" customHeight="1" x14ac:dyDescent="0.2">
      <c r="B36" s="528"/>
      <c r="C36" s="529"/>
      <c r="D36" s="529"/>
      <c r="E36" s="530"/>
      <c r="F36" s="529"/>
      <c r="G36" s="531"/>
      <c r="H36" s="531"/>
      <c r="I36" s="531"/>
      <c r="J36" s="529"/>
      <c r="K36" s="529"/>
      <c r="L36" s="1600" t="s">
        <v>924</v>
      </c>
      <c r="M36" s="1383">
        <v>0</v>
      </c>
      <c r="N36" s="1363" t="s">
        <v>138</v>
      </c>
      <c r="O36" s="1364">
        <v>275000</v>
      </c>
      <c r="P36" s="1365">
        <f>SUM(O36*M36)</f>
        <v>0</v>
      </c>
    </row>
    <row r="37" spans="2:16" ht="12.95" customHeight="1" x14ac:dyDescent="0.2">
      <c r="B37" s="528"/>
      <c r="C37" s="529"/>
      <c r="D37" s="529"/>
      <c r="E37" s="530"/>
      <c r="F37" s="529"/>
      <c r="G37" s="531"/>
      <c r="H37" s="531"/>
      <c r="I37" s="531"/>
      <c r="J37" s="529"/>
      <c r="K37" s="529"/>
      <c r="L37" s="597"/>
      <c r="M37" s="1383"/>
      <c r="N37" s="1360"/>
      <c r="O37" s="1362"/>
      <c r="P37" s="1361"/>
    </row>
    <row r="38" spans="2:16" ht="12.95" customHeight="1" x14ac:dyDescent="0.2">
      <c r="B38" s="377">
        <v>1</v>
      </c>
      <c r="C38" s="378" t="s">
        <v>440</v>
      </c>
      <c r="D38" s="378" t="s">
        <v>142</v>
      </c>
      <c r="E38" s="379">
        <v>16</v>
      </c>
      <c r="F38" s="379" t="s">
        <v>142</v>
      </c>
      <c r="G38" s="380">
        <v>5</v>
      </c>
      <c r="H38" s="380">
        <v>2</v>
      </c>
      <c r="I38" s="380">
        <v>1</v>
      </c>
      <c r="J38" s="378" t="s">
        <v>142</v>
      </c>
      <c r="K38" s="378" t="s">
        <v>181</v>
      </c>
      <c r="L38" s="602" t="s">
        <v>283</v>
      </c>
      <c r="M38" s="1344"/>
      <c r="N38" s="1326"/>
      <c r="O38" s="1326"/>
      <c r="P38" s="1336">
        <f>SUM(P39+P48)</f>
        <v>0</v>
      </c>
    </row>
    <row r="39" spans="2:16" ht="12.95" customHeight="1" x14ac:dyDescent="0.2">
      <c r="B39" s="377"/>
      <c r="C39" s="378"/>
      <c r="D39" s="378"/>
      <c r="E39" s="379"/>
      <c r="F39" s="379"/>
      <c r="G39" s="380"/>
      <c r="H39" s="380"/>
      <c r="I39" s="380"/>
      <c r="J39" s="378"/>
      <c r="K39" s="378"/>
      <c r="L39" s="1237" t="s">
        <v>1182</v>
      </c>
      <c r="M39" s="1344"/>
      <c r="N39" s="1326"/>
      <c r="O39" s="1326"/>
      <c r="P39" s="1336">
        <f>SUM(P40:P46)</f>
        <v>0</v>
      </c>
    </row>
    <row r="40" spans="2:16" ht="12.95" customHeight="1" x14ac:dyDescent="0.2">
      <c r="B40" s="377"/>
      <c r="C40" s="378"/>
      <c r="D40" s="378"/>
      <c r="E40" s="379"/>
      <c r="F40" s="379"/>
      <c r="G40" s="380"/>
      <c r="H40" s="380"/>
      <c r="I40" s="380"/>
      <c r="J40" s="381"/>
      <c r="K40" s="381"/>
      <c r="L40" s="437" t="s">
        <v>795</v>
      </c>
      <c r="M40" s="1383">
        <v>0</v>
      </c>
      <c r="N40" s="1360" t="s">
        <v>138</v>
      </c>
      <c r="O40" s="1362">
        <v>500000</v>
      </c>
      <c r="P40" s="1361">
        <f t="shared" ref="P40:P46" si="0">SUM(O40*M40)</f>
        <v>0</v>
      </c>
    </row>
    <row r="41" spans="2:16" ht="12.95" customHeight="1" x14ac:dyDescent="0.2">
      <c r="B41" s="377"/>
      <c r="C41" s="378"/>
      <c r="D41" s="378"/>
      <c r="E41" s="379"/>
      <c r="F41" s="379"/>
      <c r="G41" s="380"/>
      <c r="H41" s="380"/>
      <c r="I41" s="380"/>
      <c r="J41" s="381"/>
      <c r="K41" s="381"/>
      <c r="L41" s="437" t="s">
        <v>674</v>
      </c>
      <c r="M41" s="1383">
        <v>0</v>
      </c>
      <c r="N41" s="1360" t="s">
        <v>138</v>
      </c>
      <c r="O41" s="1362">
        <v>450000</v>
      </c>
      <c r="P41" s="1361">
        <f t="shared" si="0"/>
        <v>0</v>
      </c>
    </row>
    <row r="42" spans="2:16" ht="12.95" customHeight="1" x14ac:dyDescent="0.2">
      <c r="B42" s="377"/>
      <c r="C42" s="378"/>
      <c r="D42" s="378"/>
      <c r="E42" s="379"/>
      <c r="F42" s="379"/>
      <c r="G42" s="380"/>
      <c r="H42" s="380"/>
      <c r="I42" s="380"/>
      <c r="J42" s="381"/>
      <c r="K42" s="381"/>
      <c r="L42" s="437" t="s">
        <v>679</v>
      </c>
      <c r="M42" s="1383">
        <v>0</v>
      </c>
      <c r="N42" s="1360" t="s">
        <v>138</v>
      </c>
      <c r="O42" s="1362">
        <v>400000</v>
      </c>
      <c r="P42" s="1361">
        <f t="shared" ref="P42" si="1">SUM(O42*M42)</f>
        <v>0</v>
      </c>
    </row>
    <row r="43" spans="2:16" ht="12.95" customHeight="1" x14ac:dyDescent="0.2">
      <c r="B43" s="377"/>
      <c r="C43" s="378"/>
      <c r="D43" s="378"/>
      <c r="E43" s="379"/>
      <c r="F43" s="379"/>
      <c r="G43" s="380"/>
      <c r="H43" s="380"/>
      <c r="I43" s="380"/>
      <c r="J43" s="381"/>
      <c r="K43" s="381"/>
      <c r="L43" s="437" t="s">
        <v>675</v>
      </c>
      <c r="M43" s="1383">
        <v>0</v>
      </c>
      <c r="N43" s="1360" t="s">
        <v>138</v>
      </c>
      <c r="O43" s="1362">
        <v>350000</v>
      </c>
      <c r="P43" s="1361">
        <f t="shared" si="0"/>
        <v>0</v>
      </c>
    </row>
    <row r="44" spans="2:16" ht="12.95" customHeight="1" x14ac:dyDescent="0.2">
      <c r="B44" s="208"/>
      <c r="C44" s="68"/>
      <c r="D44" s="68"/>
      <c r="E44" s="494"/>
      <c r="F44" s="494"/>
      <c r="G44" s="496"/>
      <c r="H44" s="496"/>
      <c r="I44" s="373"/>
      <c r="J44" s="634"/>
      <c r="K44" s="634"/>
      <c r="L44" s="437" t="s">
        <v>676</v>
      </c>
      <c r="M44" s="1383">
        <v>0</v>
      </c>
      <c r="N44" s="1360" t="s">
        <v>138</v>
      </c>
      <c r="O44" s="1362">
        <v>300000</v>
      </c>
      <c r="P44" s="1361">
        <f t="shared" si="0"/>
        <v>0</v>
      </c>
    </row>
    <row r="45" spans="2:16" ht="12.95" customHeight="1" x14ac:dyDescent="0.2">
      <c r="B45" s="208"/>
      <c r="C45" s="68"/>
      <c r="D45" s="68"/>
      <c r="E45" s="494"/>
      <c r="F45" s="494"/>
      <c r="G45" s="496"/>
      <c r="H45" s="496"/>
      <c r="I45" s="373"/>
      <c r="J45" s="634"/>
      <c r="K45" s="634"/>
      <c r="L45" s="437" t="s">
        <v>1161</v>
      </c>
      <c r="M45" s="1383">
        <v>0</v>
      </c>
      <c r="N45" s="1360" t="s">
        <v>138</v>
      </c>
      <c r="O45" s="1362">
        <v>250000</v>
      </c>
      <c r="P45" s="1361">
        <f t="shared" si="0"/>
        <v>0</v>
      </c>
    </row>
    <row r="46" spans="2:16" ht="12.95" customHeight="1" x14ac:dyDescent="0.2">
      <c r="B46" s="208"/>
      <c r="C46" s="68"/>
      <c r="D46" s="68"/>
      <c r="E46" s="494"/>
      <c r="F46" s="494"/>
      <c r="G46" s="496"/>
      <c r="H46" s="496"/>
      <c r="I46" s="373"/>
      <c r="J46" s="634"/>
      <c r="K46" s="634"/>
      <c r="L46" s="653" t="s">
        <v>1162</v>
      </c>
      <c r="M46" s="1383">
        <v>0</v>
      </c>
      <c r="N46" s="1363" t="s">
        <v>138</v>
      </c>
      <c r="O46" s="1364">
        <v>200000</v>
      </c>
      <c r="P46" s="1365">
        <f t="shared" si="0"/>
        <v>0</v>
      </c>
    </row>
    <row r="47" spans="2:16" ht="12.95" customHeight="1" x14ac:dyDescent="0.2">
      <c r="B47" s="208"/>
      <c r="C47" s="68"/>
      <c r="D47" s="68"/>
      <c r="E47" s="494"/>
      <c r="F47" s="494"/>
      <c r="G47" s="496"/>
      <c r="H47" s="496"/>
      <c r="I47" s="373"/>
      <c r="J47" s="634"/>
      <c r="K47" s="634"/>
      <c r="L47" s="1987"/>
      <c r="M47" s="1988"/>
      <c r="N47" s="1989"/>
      <c r="O47" s="1990"/>
      <c r="P47" s="1991"/>
    </row>
    <row r="48" spans="2:16" ht="12.95" customHeight="1" x14ac:dyDescent="0.2">
      <c r="B48" s="208"/>
      <c r="C48" s="68"/>
      <c r="D48" s="68"/>
      <c r="E48" s="494"/>
      <c r="F48" s="494"/>
      <c r="G48" s="496"/>
      <c r="H48" s="496"/>
      <c r="I48" s="373"/>
      <c r="J48" s="634"/>
      <c r="K48" s="634"/>
      <c r="L48" s="1237" t="s">
        <v>954</v>
      </c>
      <c r="M48" s="1384"/>
      <c r="N48" s="1237"/>
      <c r="O48" s="1237"/>
      <c r="P48" s="1237">
        <f>SUM(P49:P53)</f>
        <v>0</v>
      </c>
    </row>
    <row r="49" spans="2:16" ht="12.95" customHeight="1" x14ac:dyDescent="0.2">
      <c r="B49" s="208"/>
      <c r="C49" s="68"/>
      <c r="D49" s="68"/>
      <c r="E49" s="494"/>
      <c r="F49" s="494"/>
      <c r="G49" s="496"/>
      <c r="H49" s="496"/>
      <c r="I49" s="373"/>
      <c r="J49" s="634"/>
      <c r="K49" s="634"/>
      <c r="L49" s="437" t="s">
        <v>677</v>
      </c>
      <c r="M49" s="1383">
        <v>0</v>
      </c>
      <c r="N49" s="1360" t="s">
        <v>138</v>
      </c>
      <c r="O49" s="1362">
        <v>500000</v>
      </c>
      <c r="P49" s="1361">
        <f>SUM(O49*M49)</f>
        <v>0</v>
      </c>
    </row>
    <row r="50" spans="2:16" ht="12.95" customHeight="1" x14ac:dyDescent="0.2">
      <c r="B50" s="208"/>
      <c r="C50" s="68"/>
      <c r="D50" s="68"/>
      <c r="E50" s="494"/>
      <c r="F50" s="494"/>
      <c r="G50" s="496"/>
      <c r="H50" s="496"/>
      <c r="I50" s="373"/>
      <c r="J50" s="634"/>
      <c r="K50" s="634"/>
      <c r="L50" s="437" t="s">
        <v>678</v>
      </c>
      <c r="M50" s="1383">
        <v>0</v>
      </c>
      <c r="N50" s="1360" t="s">
        <v>138</v>
      </c>
      <c r="O50" s="1362">
        <v>450000</v>
      </c>
      <c r="P50" s="1361">
        <f>SUM(O50*M50)</f>
        <v>0</v>
      </c>
    </row>
    <row r="51" spans="2:16" ht="12.95" customHeight="1" x14ac:dyDescent="0.2">
      <c r="B51" s="208"/>
      <c r="C51" s="68"/>
      <c r="D51" s="68"/>
      <c r="E51" s="494"/>
      <c r="F51" s="494"/>
      <c r="G51" s="496"/>
      <c r="H51" s="496"/>
      <c r="I51" s="373"/>
      <c r="J51" s="634"/>
      <c r="K51" s="634"/>
      <c r="L51" s="437" t="s">
        <v>679</v>
      </c>
      <c r="M51" s="1383">
        <v>0</v>
      </c>
      <c r="N51" s="1360" t="s">
        <v>138</v>
      </c>
      <c r="O51" s="1362">
        <v>400000</v>
      </c>
      <c r="P51" s="1361">
        <f>SUM(O51*M51)</f>
        <v>0</v>
      </c>
    </row>
    <row r="52" spans="2:16" ht="12.95" customHeight="1" x14ac:dyDescent="0.2">
      <c r="B52" s="208"/>
      <c r="C52" s="68"/>
      <c r="D52" s="68"/>
      <c r="E52" s="494"/>
      <c r="F52" s="494"/>
      <c r="G52" s="496"/>
      <c r="H52" s="496"/>
      <c r="I52" s="373"/>
      <c r="J52" s="634"/>
      <c r="K52" s="634"/>
      <c r="L52" s="437" t="s">
        <v>675</v>
      </c>
      <c r="M52" s="1383">
        <v>0</v>
      </c>
      <c r="N52" s="1360" t="s">
        <v>138</v>
      </c>
      <c r="O52" s="1362">
        <v>350000</v>
      </c>
      <c r="P52" s="1361">
        <f>SUM(O52*M52)</f>
        <v>0</v>
      </c>
    </row>
    <row r="53" spans="2:16" ht="12.95" customHeight="1" x14ac:dyDescent="0.2">
      <c r="B53" s="208"/>
      <c r="C53" s="68"/>
      <c r="D53" s="68"/>
      <c r="E53" s="494"/>
      <c r="F53" s="494"/>
      <c r="G53" s="496"/>
      <c r="H53" s="496"/>
      <c r="I53" s="373"/>
      <c r="J53" s="634"/>
      <c r="K53" s="634"/>
      <c r="L53" s="437" t="s">
        <v>1163</v>
      </c>
      <c r="M53" s="1383">
        <v>0</v>
      </c>
      <c r="N53" s="1360" t="s">
        <v>138</v>
      </c>
      <c r="O53" s="1362">
        <v>250000</v>
      </c>
      <c r="P53" s="1361">
        <f>SUM(O53*M53)</f>
        <v>0</v>
      </c>
    </row>
    <row r="54" spans="2:16" ht="12.95" customHeight="1" x14ac:dyDescent="0.2">
      <c r="B54" s="377"/>
      <c r="C54" s="378"/>
      <c r="D54" s="378"/>
      <c r="E54" s="379"/>
      <c r="F54" s="379"/>
      <c r="G54" s="380"/>
      <c r="H54" s="380"/>
      <c r="I54" s="380"/>
      <c r="J54" s="381"/>
      <c r="K54" s="381"/>
      <c r="L54" s="385"/>
      <c r="M54" s="1344"/>
      <c r="N54" s="1326"/>
      <c r="O54" s="1326"/>
      <c r="P54" s="1324"/>
    </row>
    <row r="55" spans="2:16" ht="12.95" customHeight="1" x14ac:dyDescent="0.2">
      <c r="B55" s="377">
        <v>1</v>
      </c>
      <c r="C55" s="378" t="s">
        <v>440</v>
      </c>
      <c r="D55" s="378" t="s">
        <v>142</v>
      </c>
      <c r="E55" s="379">
        <v>16</v>
      </c>
      <c r="F55" s="379" t="s">
        <v>142</v>
      </c>
      <c r="G55" s="380">
        <v>5</v>
      </c>
      <c r="H55" s="380">
        <v>2</v>
      </c>
      <c r="I55" s="380">
        <v>2</v>
      </c>
      <c r="J55" s="380"/>
      <c r="K55" s="380"/>
      <c r="L55" s="599" t="s">
        <v>120</v>
      </c>
      <c r="M55" s="1346"/>
      <c r="N55" s="1328"/>
      <c r="O55" s="1328"/>
      <c r="P55" s="1334">
        <f>SUM(P56+P78+P86+P66)</f>
        <v>0</v>
      </c>
    </row>
    <row r="56" spans="2:16" ht="12.95" customHeight="1" x14ac:dyDescent="0.2">
      <c r="B56" s="377">
        <v>1</v>
      </c>
      <c r="C56" s="378" t="s">
        <v>440</v>
      </c>
      <c r="D56" s="378" t="s">
        <v>142</v>
      </c>
      <c r="E56" s="379">
        <v>16</v>
      </c>
      <c r="F56" s="379" t="s">
        <v>142</v>
      </c>
      <c r="G56" s="380">
        <v>5</v>
      </c>
      <c r="H56" s="380">
        <v>2</v>
      </c>
      <c r="I56" s="380">
        <v>2</v>
      </c>
      <c r="J56" s="378" t="s">
        <v>142</v>
      </c>
      <c r="K56" s="378"/>
      <c r="L56" s="600" t="s">
        <v>109</v>
      </c>
      <c r="M56" s="1346"/>
      <c r="N56" s="1366"/>
      <c r="O56" s="1366"/>
      <c r="P56" s="1334">
        <f>P57</f>
        <v>0</v>
      </c>
    </row>
    <row r="57" spans="2:16" ht="12.95" customHeight="1" x14ac:dyDescent="0.2">
      <c r="B57" s="377">
        <v>1</v>
      </c>
      <c r="C57" s="378" t="s">
        <v>440</v>
      </c>
      <c r="D57" s="378" t="s">
        <v>142</v>
      </c>
      <c r="E57" s="379">
        <v>16</v>
      </c>
      <c r="F57" s="379" t="s">
        <v>142</v>
      </c>
      <c r="G57" s="380">
        <v>5</v>
      </c>
      <c r="H57" s="380">
        <v>2</v>
      </c>
      <c r="I57" s="380">
        <v>2</v>
      </c>
      <c r="J57" s="378" t="s">
        <v>142</v>
      </c>
      <c r="K57" s="378" t="s">
        <v>142</v>
      </c>
      <c r="L57" s="633" t="s">
        <v>127</v>
      </c>
      <c r="M57" s="1346"/>
      <c r="N57" s="1366"/>
      <c r="O57" s="1366"/>
      <c r="P57" s="1332">
        <f>SUM(P58:P64)</f>
        <v>0</v>
      </c>
    </row>
    <row r="58" spans="2:16" ht="12.95" customHeight="1" x14ac:dyDescent="0.2">
      <c r="B58" s="377"/>
      <c r="C58" s="378"/>
      <c r="D58" s="378"/>
      <c r="E58" s="379"/>
      <c r="F58" s="379"/>
      <c r="G58" s="380"/>
      <c r="H58" s="380"/>
      <c r="I58" s="380"/>
      <c r="J58" s="378"/>
      <c r="K58" s="380"/>
      <c r="L58" s="601" t="s">
        <v>282</v>
      </c>
      <c r="M58" s="1458">
        <v>0</v>
      </c>
      <c r="N58" s="1601" t="s">
        <v>114</v>
      </c>
      <c r="O58" s="1602">
        <v>46880</v>
      </c>
      <c r="P58" s="1361">
        <f t="shared" ref="P58:P64" si="2">SUM(O58*M58)</f>
        <v>0</v>
      </c>
    </row>
    <row r="59" spans="2:16" ht="12.95" customHeight="1" x14ac:dyDescent="0.2">
      <c r="B59" s="377"/>
      <c r="C59" s="378"/>
      <c r="D59" s="378"/>
      <c r="E59" s="379"/>
      <c r="F59" s="379"/>
      <c r="G59" s="380"/>
      <c r="H59" s="380"/>
      <c r="I59" s="380"/>
      <c r="J59" s="378"/>
      <c r="K59" s="380"/>
      <c r="L59" s="601" t="s">
        <v>356</v>
      </c>
      <c r="M59" s="1458">
        <v>0</v>
      </c>
      <c r="N59" s="1601" t="s">
        <v>259</v>
      </c>
      <c r="O59" s="1602">
        <v>26030</v>
      </c>
      <c r="P59" s="1361">
        <f t="shared" si="2"/>
        <v>0</v>
      </c>
    </row>
    <row r="60" spans="2:16" ht="12.95" customHeight="1" x14ac:dyDescent="0.2">
      <c r="B60" s="377"/>
      <c r="C60" s="378"/>
      <c r="D60" s="378"/>
      <c r="E60" s="379"/>
      <c r="F60" s="379"/>
      <c r="G60" s="380"/>
      <c r="H60" s="380"/>
      <c r="I60" s="380"/>
      <c r="J60" s="378"/>
      <c r="K60" s="380"/>
      <c r="L60" s="601" t="s">
        <v>357</v>
      </c>
      <c r="M60" s="1458">
        <v>0</v>
      </c>
      <c r="N60" s="1601" t="s">
        <v>259</v>
      </c>
      <c r="O60" s="1602">
        <v>104360</v>
      </c>
      <c r="P60" s="1361">
        <f t="shared" si="2"/>
        <v>0</v>
      </c>
    </row>
    <row r="61" spans="2:16" ht="12.95" customHeight="1" x14ac:dyDescent="0.2">
      <c r="B61" s="377"/>
      <c r="C61" s="378"/>
      <c r="D61" s="378"/>
      <c r="E61" s="379"/>
      <c r="F61" s="379"/>
      <c r="G61" s="380"/>
      <c r="H61" s="380"/>
      <c r="I61" s="380"/>
      <c r="J61" s="378"/>
      <c r="K61" s="380"/>
      <c r="L61" s="601" t="s">
        <v>532</v>
      </c>
      <c r="M61" s="1458">
        <v>0</v>
      </c>
      <c r="N61" s="1601" t="s">
        <v>259</v>
      </c>
      <c r="O61" s="1602">
        <v>86435</v>
      </c>
      <c r="P61" s="1361">
        <f t="shared" si="2"/>
        <v>0</v>
      </c>
    </row>
    <row r="62" spans="2:16" ht="12.95" customHeight="1" x14ac:dyDescent="0.2">
      <c r="B62" s="377"/>
      <c r="C62" s="378"/>
      <c r="D62" s="378"/>
      <c r="E62" s="379"/>
      <c r="F62" s="379"/>
      <c r="G62" s="380"/>
      <c r="H62" s="380"/>
      <c r="I62" s="380"/>
      <c r="J62" s="378"/>
      <c r="K62" s="380"/>
      <c r="L62" s="601" t="s">
        <v>798</v>
      </c>
      <c r="M62" s="1458">
        <v>0</v>
      </c>
      <c r="N62" s="1601" t="s">
        <v>771</v>
      </c>
      <c r="O62" s="1602">
        <v>24540</v>
      </c>
      <c r="P62" s="1361">
        <f t="shared" si="2"/>
        <v>0</v>
      </c>
    </row>
    <row r="63" spans="2:16" ht="12.95" customHeight="1" x14ac:dyDescent="0.2">
      <c r="B63" s="377"/>
      <c r="C63" s="378"/>
      <c r="D63" s="378"/>
      <c r="E63" s="379"/>
      <c r="F63" s="379"/>
      <c r="G63" s="380"/>
      <c r="H63" s="380"/>
      <c r="I63" s="380"/>
      <c r="J63" s="378"/>
      <c r="K63" s="380"/>
      <c r="L63" s="601" t="s">
        <v>796</v>
      </c>
      <c r="M63" s="1385">
        <v>0</v>
      </c>
      <c r="N63" s="1326" t="s">
        <v>495</v>
      </c>
      <c r="O63" s="577">
        <v>38400</v>
      </c>
      <c r="P63" s="1361">
        <f t="shared" si="2"/>
        <v>0</v>
      </c>
    </row>
    <row r="64" spans="2:16" ht="12.95" customHeight="1" x14ac:dyDescent="0.2">
      <c r="B64" s="377"/>
      <c r="C64" s="378"/>
      <c r="D64" s="378"/>
      <c r="E64" s="379"/>
      <c r="F64" s="379"/>
      <c r="G64" s="380"/>
      <c r="H64" s="380"/>
      <c r="I64" s="380"/>
      <c r="J64" s="378"/>
      <c r="K64" s="380"/>
      <c r="L64" s="601" t="s">
        <v>797</v>
      </c>
      <c r="M64" s="1385">
        <v>0</v>
      </c>
      <c r="N64" s="1326" t="s">
        <v>771</v>
      </c>
      <c r="O64" s="577">
        <v>29230</v>
      </c>
      <c r="P64" s="1361">
        <f t="shared" si="2"/>
        <v>0</v>
      </c>
    </row>
    <row r="65" spans="2:17" ht="12.95" customHeight="1" x14ac:dyDescent="0.2">
      <c r="B65" s="1367"/>
      <c r="C65" s="1368"/>
      <c r="D65" s="1368"/>
      <c r="E65" s="1368"/>
      <c r="F65" s="1368"/>
      <c r="G65" s="1368"/>
      <c r="H65" s="1368"/>
      <c r="I65" s="1368"/>
      <c r="J65" s="1368"/>
      <c r="K65" s="1368"/>
      <c r="L65" s="1368"/>
      <c r="M65" s="1386"/>
      <c r="N65" s="1368"/>
      <c r="O65" s="1368"/>
      <c r="P65" s="1369"/>
    </row>
    <row r="66" spans="2:17" ht="12.95" customHeight="1" x14ac:dyDescent="0.2">
      <c r="B66" s="377">
        <v>1</v>
      </c>
      <c r="C66" s="378" t="s">
        <v>440</v>
      </c>
      <c r="D66" s="378" t="s">
        <v>142</v>
      </c>
      <c r="E66" s="379">
        <v>16</v>
      </c>
      <c r="F66" s="379" t="s">
        <v>142</v>
      </c>
      <c r="G66" s="46">
        <v>5</v>
      </c>
      <c r="H66" s="46">
        <v>2</v>
      </c>
      <c r="I66" s="46">
        <v>2</v>
      </c>
      <c r="J66" s="33" t="s">
        <v>164</v>
      </c>
      <c r="K66" s="1079"/>
      <c r="L66" s="143" t="s">
        <v>112</v>
      </c>
      <c r="M66" s="1348"/>
      <c r="N66" s="1238"/>
      <c r="O66" s="1239"/>
      <c r="P66" s="269">
        <f>P67+P73</f>
        <v>0</v>
      </c>
    </row>
    <row r="67" spans="2:17" ht="12.95" customHeight="1" x14ac:dyDescent="0.2">
      <c r="B67" s="377">
        <v>1</v>
      </c>
      <c r="C67" s="378" t="s">
        <v>440</v>
      </c>
      <c r="D67" s="378" t="s">
        <v>142</v>
      </c>
      <c r="E67" s="379">
        <v>16</v>
      </c>
      <c r="F67" s="379" t="s">
        <v>142</v>
      </c>
      <c r="G67" s="1426">
        <v>5</v>
      </c>
      <c r="H67" s="1426">
        <v>2</v>
      </c>
      <c r="I67" s="1426">
        <v>2</v>
      </c>
      <c r="J67" s="1424" t="s">
        <v>164</v>
      </c>
      <c r="K67" s="1424">
        <v>12</v>
      </c>
      <c r="L67" s="1514" t="s">
        <v>240</v>
      </c>
      <c r="M67" s="1434"/>
      <c r="N67" s="1515"/>
      <c r="O67" s="1516"/>
      <c r="P67" s="1517">
        <f>SUM(P68:P71)</f>
        <v>0</v>
      </c>
    </row>
    <row r="68" spans="2:17" ht="12.95" customHeight="1" x14ac:dyDescent="0.2">
      <c r="B68" s="528"/>
      <c r="C68" s="531"/>
      <c r="D68" s="531"/>
      <c r="E68" s="531"/>
      <c r="F68" s="531"/>
      <c r="G68" s="531"/>
      <c r="H68" s="531"/>
      <c r="I68" s="552"/>
      <c r="J68" s="552"/>
      <c r="K68" s="529"/>
      <c r="L68" s="1519" t="s">
        <v>1181</v>
      </c>
      <c r="M68" s="1443"/>
      <c r="N68" s="1360"/>
      <c r="O68" s="1468"/>
      <c r="P68" s="1361"/>
    </row>
    <row r="69" spans="2:17" ht="12.95" customHeight="1" x14ac:dyDescent="0.2">
      <c r="B69" s="528"/>
      <c r="C69" s="531"/>
      <c r="D69" s="531"/>
      <c r="E69" s="531"/>
      <c r="F69" s="531"/>
      <c r="G69" s="531"/>
      <c r="H69" s="531"/>
      <c r="I69" s="552"/>
      <c r="J69" s="552"/>
      <c r="K69" s="529"/>
      <c r="L69" s="1519" t="s">
        <v>802</v>
      </c>
      <c r="M69" s="1443">
        <v>0</v>
      </c>
      <c r="N69" s="1360" t="s">
        <v>111</v>
      </c>
      <c r="O69" s="1468">
        <v>45000</v>
      </c>
      <c r="P69" s="1361">
        <f>O69*M69</f>
        <v>0</v>
      </c>
    </row>
    <row r="70" spans="2:17" ht="12.95" customHeight="1" x14ac:dyDescent="0.2">
      <c r="B70" s="528"/>
      <c r="C70" s="531"/>
      <c r="D70" s="531"/>
      <c r="E70" s="531"/>
      <c r="F70" s="531"/>
      <c r="G70" s="531"/>
      <c r="H70" s="531"/>
      <c r="I70" s="552"/>
      <c r="J70" s="552"/>
      <c r="K70" s="529"/>
      <c r="L70" s="1519" t="s">
        <v>803</v>
      </c>
      <c r="M70" s="1443"/>
      <c r="N70" s="1360"/>
      <c r="O70" s="1468"/>
      <c r="P70" s="1361"/>
    </row>
    <row r="71" spans="2:17" ht="24.6" customHeight="1" x14ac:dyDescent="0.2">
      <c r="B71" s="528"/>
      <c r="C71" s="531"/>
      <c r="D71" s="531"/>
      <c r="E71" s="531"/>
      <c r="F71" s="531"/>
      <c r="G71" s="531"/>
      <c r="H71" s="531"/>
      <c r="I71" s="552"/>
      <c r="J71" s="552"/>
      <c r="K71" s="529"/>
      <c r="L71" s="1519" t="s">
        <v>804</v>
      </c>
      <c r="M71" s="1443">
        <v>0</v>
      </c>
      <c r="N71" s="1363" t="s">
        <v>580</v>
      </c>
      <c r="O71" s="1477">
        <v>56000</v>
      </c>
      <c r="P71" s="1365">
        <f>O71*M71</f>
        <v>0</v>
      </c>
    </row>
    <row r="72" spans="2:17" ht="12.95" customHeight="1" x14ac:dyDescent="0.2">
      <c r="B72" s="1367"/>
      <c r="C72" s="1368"/>
      <c r="D72" s="1368"/>
      <c r="E72" s="1368"/>
      <c r="F72" s="1368"/>
      <c r="G72" s="1368"/>
      <c r="H72" s="1368"/>
      <c r="I72" s="1368"/>
      <c r="J72" s="1368"/>
      <c r="K72" s="1368"/>
      <c r="L72" s="1522"/>
      <c r="M72" s="1386"/>
      <c r="N72" s="1368"/>
      <c r="O72" s="1368"/>
      <c r="P72" s="1369"/>
    </row>
    <row r="73" spans="2:17" ht="12.95" customHeight="1" x14ac:dyDescent="0.2">
      <c r="B73" s="377">
        <v>1</v>
      </c>
      <c r="C73" s="378" t="s">
        <v>440</v>
      </c>
      <c r="D73" s="378" t="s">
        <v>142</v>
      </c>
      <c r="E73" s="379">
        <v>16</v>
      </c>
      <c r="F73" s="379" t="s">
        <v>142</v>
      </c>
      <c r="G73" s="46">
        <v>5</v>
      </c>
      <c r="H73" s="46">
        <v>2</v>
      </c>
      <c r="I73" s="46">
        <v>2</v>
      </c>
      <c r="J73" s="33" t="s">
        <v>164</v>
      </c>
      <c r="K73" s="33">
        <v>27</v>
      </c>
      <c r="L73" s="1523" t="s">
        <v>427</v>
      </c>
      <c r="M73" s="1398"/>
      <c r="N73" s="262"/>
      <c r="O73" s="868"/>
      <c r="P73" s="636">
        <f>SUM(P74:P76)</f>
        <v>0</v>
      </c>
    </row>
    <row r="74" spans="2:17" ht="12.95" customHeight="1" x14ac:dyDescent="0.2">
      <c r="B74" s="80"/>
      <c r="C74" s="33"/>
      <c r="D74" s="33"/>
      <c r="E74" s="67"/>
      <c r="F74" s="33"/>
      <c r="G74" s="1079"/>
      <c r="H74" s="1079"/>
      <c r="I74" s="1079"/>
      <c r="J74" s="1079"/>
      <c r="K74" s="33"/>
      <c r="L74" s="1603" t="s">
        <v>1164</v>
      </c>
      <c r="M74" s="1604">
        <v>0</v>
      </c>
      <c r="N74" s="1605" t="s">
        <v>138</v>
      </c>
      <c r="O74" s="1606">
        <v>800000</v>
      </c>
      <c r="P74" s="1594">
        <f>O74*M74</f>
        <v>0</v>
      </c>
      <c r="Q74" s="1607"/>
    </row>
    <row r="75" spans="2:17" ht="12.95" customHeight="1" x14ac:dyDescent="0.2">
      <c r="B75" s="80"/>
      <c r="C75" s="33"/>
      <c r="D75" s="33"/>
      <c r="E75" s="67"/>
      <c r="F75" s="33"/>
      <c r="G75" s="1079"/>
      <c r="H75" s="1079"/>
      <c r="I75" s="1079"/>
      <c r="J75" s="1079"/>
      <c r="K75" s="33"/>
      <c r="L75" s="1603" t="s">
        <v>1165</v>
      </c>
      <c r="M75" s="1604">
        <v>0</v>
      </c>
      <c r="N75" s="1605" t="s">
        <v>575</v>
      </c>
      <c r="O75" s="1606">
        <v>700000</v>
      </c>
      <c r="P75" s="1594">
        <f>O75*M75</f>
        <v>0</v>
      </c>
      <c r="Q75" s="1607"/>
    </row>
    <row r="76" spans="2:17" ht="12.95" customHeight="1" x14ac:dyDescent="0.2">
      <c r="B76" s="1367"/>
      <c r="C76" s="1368"/>
      <c r="D76" s="1368"/>
      <c r="E76" s="1368"/>
      <c r="F76" s="1368"/>
      <c r="G76" s="1368"/>
      <c r="H76" s="1368"/>
      <c r="I76" s="1368"/>
      <c r="J76" s="1368"/>
      <c r="K76" s="1368"/>
      <c r="L76" s="1603" t="s">
        <v>1166</v>
      </c>
      <c r="M76" s="1604">
        <v>0</v>
      </c>
      <c r="N76" s="1605" t="s">
        <v>575</v>
      </c>
      <c r="O76" s="1606">
        <v>600000</v>
      </c>
      <c r="P76" s="1594">
        <f>O76*M76</f>
        <v>0</v>
      </c>
      <c r="Q76" s="1607"/>
    </row>
    <row r="77" spans="2:17" ht="12.95" customHeight="1" x14ac:dyDescent="0.2">
      <c r="B77" s="1367"/>
      <c r="C77" s="1368"/>
      <c r="D77" s="1368"/>
      <c r="E77" s="1368"/>
      <c r="F77" s="1368"/>
      <c r="G77" s="1368"/>
      <c r="H77" s="1368"/>
      <c r="I77" s="1368"/>
      <c r="J77" s="1368"/>
      <c r="K77" s="1368"/>
      <c r="L77" s="1368"/>
      <c r="M77" s="1386"/>
      <c r="N77" s="1368"/>
      <c r="O77" s="1368"/>
      <c r="P77" s="1369"/>
    </row>
    <row r="78" spans="2:17" ht="12.95" customHeight="1" x14ac:dyDescent="0.2">
      <c r="B78" s="377">
        <v>1</v>
      </c>
      <c r="C78" s="378" t="s">
        <v>440</v>
      </c>
      <c r="D78" s="378" t="s">
        <v>142</v>
      </c>
      <c r="E78" s="379">
        <v>16</v>
      </c>
      <c r="F78" s="379" t="s">
        <v>142</v>
      </c>
      <c r="G78" s="380">
        <v>5</v>
      </c>
      <c r="H78" s="380">
        <v>2</v>
      </c>
      <c r="I78" s="380">
        <v>2</v>
      </c>
      <c r="J78" s="378" t="s">
        <v>144</v>
      </c>
      <c r="K78" s="380"/>
      <c r="L78" s="598" t="s">
        <v>115</v>
      </c>
      <c r="M78" s="1346"/>
      <c r="N78" s="1328"/>
      <c r="O78" s="1328"/>
      <c r="P78" s="1334">
        <f>P79+P83</f>
        <v>0</v>
      </c>
    </row>
    <row r="79" spans="2:17" ht="12.95" customHeight="1" x14ac:dyDescent="0.2">
      <c r="B79" s="377">
        <v>1</v>
      </c>
      <c r="C79" s="378" t="s">
        <v>440</v>
      </c>
      <c r="D79" s="378" t="s">
        <v>142</v>
      </c>
      <c r="E79" s="379">
        <v>16</v>
      </c>
      <c r="F79" s="379" t="s">
        <v>142</v>
      </c>
      <c r="G79" s="380">
        <v>5</v>
      </c>
      <c r="H79" s="380">
        <v>2</v>
      </c>
      <c r="I79" s="380">
        <v>2</v>
      </c>
      <c r="J79" s="378" t="s">
        <v>144</v>
      </c>
      <c r="K79" s="378" t="s">
        <v>142</v>
      </c>
      <c r="L79" s="602" t="s">
        <v>133</v>
      </c>
      <c r="M79" s="1346"/>
      <c r="N79" s="1328"/>
      <c r="O79" s="1328"/>
      <c r="P79" s="1332">
        <f>SUM(P80:P81)</f>
        <v>0</v>
      </c>
    </row>
    <row r="80" spans="2:17" ht="26.1" customHeight="1" x14ac:dyDescent="0.2">
      <c r="B80" s="377"/>
      <c r="C80" s="378"/>
      <c r="D80" s="378"/>
      <c r="E80" s="379"/>
      <c r="F80" s="379"/>
      <c r="G80" s="380"/>
      <c r="H80" s="380"/>
      <c r="I80" s="380"/>
      <c r="J80" s="378"/>
      <c r="K80" s="378"/>
      <c r="L80" s="1608" t="s">
        <v>1167</v>
      </c>
      <c r="M80" s="1992">
        <v>0</v>
      </c>
      <c r="N80" s="1609" t="s">
        <v>580</v>
      </c>
      <c r="O80" s="1364">
        <v>3000</v>
      </c>
      <c r="P80" s="1365">
        <f>SUM(O80*M80)</f>
        <v>0</v>
      </c>
    </row>
    <row r="81" spans="2:26" ht="12.95" customHeight="1" x14ac:dyDescent="0.2">
      <c r="B81" s="377"/>
      <c r="C81" s="378"/>
      <c r="D81" s="378"/>
      <c r="E81" s="379"/>
      <c r="F81" s="379"/>
      <c r="G81" s="380"/>
      <c r="H81" s="380"/>
      <c r="I81" s="380"/>
      <c r="J81" s="378"/>
      <c r="K81" s="378"/>
      <c r="L81" s="437" t="s">
        <v>799</v>
      </c>
      <c r="M81" s="1346">
        <v>0</v>
      </c>
      <c r="N81" s="1370" t="s">
        <v>348</v>
      </c>
      <c r="O81" s="1342">
        <v>60000</v>
      </c>
      <c r="P81" s="1371">
        <f>SUM(O81*M81)</f>
        <v>0</v>
      </c>
    </row>
    <row r="82" spans="2:26" ht="12.95" customHeight="1" x14ac:dyDescent="0.2">
      <c r="B82" s="377"/>
      <c r="C82" s="378"/>
      <c r="D82" s="378"/>
      <c r="E82" s="379"/>
      <c r="F82" s="379"/>
      <c r="G82" s="380"/>
      <c r="H82" s="380"/>
      <c r="I82" s="380"/>
      <c r="J82" s="378"/>
      <c r="K82" s="378"/>
      <c r="L82" s="437"/>
      <c r="M82" s="1346"/>
      <c r="N82" s="1370"/>
      <c r="O82" s="1342"/>
      <c r="P82" s="1371"/>
    </row>
    <row r="83" spans="2:26" ht="12.95" customHeight="1" x14ac:dyDescent="0.2">
      <c r="B83" s="377">
        <v>1</v>
      </c>
      <c r="C83" s="378" t="s">
        <v>440</v>
      </c>
      <c r="D83" s="378" t="s">
        <v>142</v>
      </c>
      <c r="E83" s="379">
        <v>16</v>
      </c>
      <c r="F83" s="379" t="s">
        <v>142</v>
      </c>
      <c r="G83" s="380">
        <v>5</v>
      </c>
      <c r="H83" s="380">
        <v>2</v>
      </c>
      <c r="I83" s="380">
        <v>2</v>
      </c>
      <c r="J83" s="378" t="s">
        <v>144</v>
      </c>
      <c r="K83" s="378" t="s">
        <v>145</v>
      </c>
      <c r="L83" s="391" t="s">
        <v>121</v>
      </c>
      <c r="M83" s="1346"/>
      <c r="N83" s="1328"/>
      <c r="O83" s="1328"/>
      <c r="P83" s="1332">
        <f>SUM(P84:P84)</f>
        <v>0</v>
      </c>
      <c r="R83" s="1245"/>
      <c r="S83" s="1245"/>
      <c r="T83" s="1245"/>
      <c r="U83" s="1372"/>
    </row>
    <row r="84" spans="2:26" ht="12.95" customHeight="1" x14ac:dyDescent="0.2">
      <c r="B84" s="377"/>
      <c r="C84" s="378"/>
      <c r="D84" s="378"/>
      <c r="E84" s="379"/>
      <c r="F84" s="378"/>
      <c r="G84" s="380"/>
      <c r="H84" s="380"/>
      <c r="I84" s="380"/>
      <c r="J84" s="380"/>
      <c r="K84" s="378"/>
      <c r="L84" s="603" t="s">
        <v>643</v>
      </c>
      <c r="M84" s="1992">
        <v>0</v>
      </c>
      <c r="N84" s="1601" t="s">
        <v>113</v>
      </c>
      <c r="O84" s="1602">
        <v>350</v>
      </c>
      <c r="P84" s="1361">
        <f>SUM(O84*M84)</f>
        <v>0</v>
      </c>
      <c r="R84" s="1245"/>
      <c r="S84" s="1245"/>
      <c r="T84" s="1245"/>
      <c r="U84" s="1372"/>
    </row>
    <row r="85" spans="2:26" ht="12.95" customHeight="1" x14ac:dyDescent="0.2">
      <c r="B85" s="604"/>
      <c r="C85" s="605"/>
      <c r="D85" s="605"/>
      <c r="E85" s="606"/>
      <c r="F85" s="605"/>
      <c r="G85" s="607"/>
      <c r="H85" s="607"/>
      <c r="I85" s="607"/>
      <c r="J85" s="607"/>
      <c r="K85" s="605"/>
      <c r="L85" s="608"/>
      <c r="M85" s="1385"/>
      <c r="N85" s="1326"/>
      <c r="O85" s="577"/>
      <c r="P85" s="1361"/>
      <c r="R85" s="1246"/>
      <c r="S85" s="1246"/>
      <c r="T85" s="1246"/>
      <c r="U85" s="1247"/>
    </row>
    <row r="86" spans="2:26" ht="12.95" customHeight="1" x14ac:dyDescent="0.2">
      <c r="B86" s="377">
        <v>1</v>
      </c>
      <c r="C86" s="378" t="s">
        <v>440</v>
      </c>
      <c r="D86" s="378" t="s">
        <v>142</v>
      </c>
      <c r="E86" s="379">
        <v>16</v>
      </c>
      <c r="F86" s="379" t="s">
        <v>142</v>
      </c>
      <c r="G86" s="380">
        <v>5</v>
      </c>
      <c r="H86" s="380">
        <v>2</v>
      </c>
      <c r="I86" s="380">
        <v>2</v>
      </c>
      <c r="J86" s="378">
        <v>11</v>
      </c>
      <c r="K86" s="380"/>
      <c r="L86" s="389" t="s">
        <v>295</v>
      </c>
      <c r="M86" s="1346"/>
      <c r="N86" s="1335"/>
      <c r="O86" s="1335"/>
      <c r="P86" s="1334">
        <f>P87</f>
        <v>0</v>
      </c>
      <c r="R86" s="1246"/>
      <c r="S86" s="1246"/>
      <c r="T86" s="1246"/>
      <c r="U86" s="1247"/>
    </row>
    <row r="87" spans="2:26" ht="12.95" customHeight="1" x14ac:dyDescent="0.2">
      <c r="B87" s="377">
        <v>1</v>
      </c>
      <c r="C87" s="378" t="s">
        <v>440</v>
      </c>
      <c r="D87" s="378" t="s">
        <v>142</v>
      </c>
      <c r="E87" s="379">
        <v>16</v>
      </c>
      <c r="F87" s="379" t="s">
        <v>142</v>
      </c>
      <c r="G87" s="380">
        <v>5</v>
      </c>
      <c r="H87" s="380">
        <v>2</v>
      </c>
      <c r="I87" s="380">
        <v>2</v>
      </c>
      <c r="J87" s="378">
        <v>11</v>
      </c>
      <c r="K87" s="378" t="s">
        <v>168</v>
      </c>
      <c r="L87" s="390" t="s">
        <v>644</v>
      </c>
      <c r="M87" s="1346"/>
      <c r="N87" s="1328"/>
      <c r="O87" s="1328"/>
      <c r="P87" s="1332">
        <f>SUM(P88:P89)</f>
        <v>0</v>
      </c>
      <c r="R87" s="1246"/>
      <c r="S87" s="1246"/>
      <c r="T87" s="1246"/>
      <c r="U87" s="1247"/>
    </row>
    <row r="88" spans="2:26" ht="12.95" customHeight="1" x14ac:dyDescent="0.2">
      <c r="B88" s="377"/>
      <c r="C88" s="378"/>
      <c r="D88" s="378"/>
      <c r="E88" s="379"/>
      <c r="F88" s="379"/>
      <c r="G88" s="380"/>
      <c r="H88" s="380"/>
      <c r="I88" s="380"/>
      <c r="J88" s="378"/>
      <c r="K88" s="378"/>
      <c r="L88" s="601" t="s">
        <v>1169</v>
      </c>
      <c r="M88" s="1385">
        <v>0</v>
      </c>
      <c r="N88" s="1326" t="s">
        <v>259</v>
      </c>
      <c r="O88" s="1373">
        <v>15000</v>
      </c>
      <c r="P88" s="1336">
        <f>O88*M88</f>
        <v>0</v>
      </c>
      <c r="R88" s="1246"/>
      <c r="S88" s="1246"/>
      <c r="T88" s="1246"/>
      <c r="U88" s="1247"/>
    </row>
    <row r="89" spans="2:26" ht="12.95" customHeight="1" x14ac:dyDescent="0.2">
      <c r="B89" s="377"/>
      <c r="C89" s="378"/>
      <c r="D89" s="378"/>
      <c r="E89" s="379"/>
      <c r="F89" s="378"/>
      <c r="G89" s="380"/>
      <c r="H89" s="380"/>
      <c r="I89" s="380"/>
      <c r="J89" s="380"/>
      <c r="K89" s="378"/>
      <c r="L89" s="601" t="s">
        <v>1168</v>
      </c>
      <c r="M89" s="1385">
        <v>0</v>
      </c>
      <c r="N89" s="1326" t="s">
        <v>259</v>
      </c>
      <c r="O89" s="1373">
        <v>7500</v>
      </c>
      <c r="P89" s="1336">
        <f>O89*M89</f>
        <v>0</v>
      </c>
      <c r="R89" s="1246"/>
      <c r="S89" s="1246"/>
      <c r="T89" s="1246"/>
      <c r="U89" s="1247"/>
    </row>
    <row r="90" spans="2:26" ht="12.95" customHeight="1" thickBot="1" x14ac:dyDescent="0.25">
      <c r="B90" s="609"/>
      <c r="C90" s="610"/>
      <c r="D90" s="610"/>
      <c r="E90" s="611"/>
      <c r="F90" s="610"/>
      <c r="G90" s="612"/>
      <c r="H90" s="612"/>
      <c r="I90" s="612"/>
      <c r="J90" s="612"/>
      <c r="K90" s="610"/>
      <c r="L90" s="613"/>
      <c r="M90" s="1374"/>
      <c r="N90" s="1375"/>
      <c r="O90" s="1376"/>
      <c r="P90" s="1389"/>
      <c r="R90" s="1377" t="e">
        <f>SUM(#REF!)</f>
        <v>#REF!</v>
      </c>
      <c r="S90" s="1246"/>
      <c r="T90" s="1246"/>
      <c r="U90" s="1247"/>
    </row>
    <row r="91" spans="2:26" ht="12.95" customHeight="1" thickBot="1" x14ac:dyDescent="0.25">
      <c r="B91" s="110"/>
      <c r="C91" s="107"/>
      <c r="D91" s="107"/>
      <c r="E91" s="107"/>
      <c r="F91" s="107"/>
      <c r="G91" s="107"/>
      <c r="H91" s="107"/>
      <c r="I91" s="107"/>
      <c r="J91" s="107"/>
      <c r="K91" s="107"/>
      <c r="L91" s="107"/>
      <c r="M91" s="2620" t="s">
        <v>199</v>
      </c>
      <c r="N91" s="2620"/>
      <c r="O91" s="2621"/>
      <c r="P91" s="1390">
        <f>SUM(P29)</f>
        <v>0</v>
      </c>
      <c r="R91" s="1353"/>
      <c r="T91" s="721"/>
      <c r="U91" s="407"/>
      <c r="V91" s="1378"/>
      <c r="W91" s="1187"/>
      <c r="X91" s="1187"/>
      <c r="Y91" s="1188"/>
      <c r="Z91" s="1188"/>
    </row>
    <row r="92" spans="2:26" ht="12.95" customHeight="1" thickTop="1" x14ac:dyDescent="0.2">
      <c r="B92" s="932"/>
      <c r="C92" s="729"/>
      <c r="D92" s="729"/>
      <c r="E92" s="729"/>
      <c r="F92" s="729"/>
      <c r="G92" s="729"/>
      <c r="H92" s="729"/>
      <c r="I92" s="729"/>
      <c r="J92" s="729"/>
      <c r="K92" s="729"/>
      <c r="L92" s="1379"/>
      <c r="M92" s="1380"/>
      <c r="N92" s="1379"/>
      <c r="O92" s="1379"/>
      <c r="P92" s="1381"/>
      <c r="R92" s="725"/>
      <c r="U92" s="407"/>
      <c r="V92" s="1378"/>
      <c r="W92" s="1187"/>
      <c r="X92" s="1187"/>
      <c r="Y92" s="1188"/>
      <c r="Z92" s="1188"/>
    </row>
    <row r="93" spans="2:26" ht="12.95" customHeight="1" x14ac:dyDescent="0.2">
      <c r="B93" s="170"/>
      <c r="C93" s="131"/>
      <c r="D93" s="131"/>
      <c r="E93" s="131"/>
      <c r="F93" s="131"/>
      <c r="G93" s="131"/>
      <c r="H93" s="131"/>
      <c r="I93" s="131"/>
      <c r="J93" s="131"/>
      <c r="K93" s="131"/>
      <c r="L93" s="144"/>
      <c r="M93" s="2506" t="str">
        <f>'RECAP APBD'!E43</f>
        <v>Banda Aceh,                   2020</v>
      </c>
      <c r="N93" s="2506"/>
      <c r="O93" s="2506"/>
      <c r="P93" s="2507"/>
      <c r="U93" s="407"/>
      <c r="V93" s="1378"/>
      <c r="W93" s="1187"/>
      <c r="X93" s="1187"/>
      <c r="Y93" s="1188"/>
      <c r="Z93" s="1188"/>
    </row>
    <row r="94" spans="2:26" ht="12.95" customHeight="1" x14ac:dyDescent="0.2">
      <c r="B94" s="170"/>
      <c r="C94" s="131"/>
      <c r="D94" s="131"/>
      <c r="E94" s="131"/>
      <c r="F94" s="131"/>
      <c r="G94" s="131"/>
      <c r="H94" s="131"/>
      <c r="I94" s="131"/>
      <c r="J94" s="131"/>
      <c r="K94" s="131"/>
      <c r="L94" s="131"/>
      <c r="M94" s="2782" t="str">
        <f>'[1]RECAP APBD'!M45:S45</f>
        <v>Pengguna Anggaran</v>
      </c>
      <c r="N94" s="2782"/>
      <c r="O94" s="2782"/>
      <c r="P94" s="2783"/>
      <c r="U94" s="407"/>
      <c r="V94" s="1378"/>
      <c r="W94" s="1187"/>
      <c r="X94" s="1187"/>
      <c r="Y94" s="1188"/>
      <c r="Z94" s="1188"/>
    </row>
    <row r="95" spans="2:26" ht="12.95" customHeight="1" x14ac:dyDescent="0.2">
      <c r="B95" s="170"/>
      <c r="C95" s="131"/>
      <c r="D95" s="131"/>
      <c r="E95" s="131"/>
      <c r="F95" s="131"/>
      <c r="G95" s="131"/>
      <c r="H95" s="131"/>
      <c r="I95" s="131"/>
      <c r="J95" s="131"/>
      <c r="K95" s="131"/>
      <c r="L95" s="131"/>
      <c r="M95" s="2782" t="str">
        <f>'[1]RECAP APBD'!M46:S46</f>
        <v>Satuan Kerja Perangkat Daerah</v>
      </c>
      <c r="N95" s="2782"/>
      <c r="O95" s="2782"/>
      <c r="P95" s="2783"/>
      <c r="U95" s="407"/>
      <c r="V95" s="1378"/>
      <c r="W95" s="1187"/>
      <c r="X95" s="1187"/>
      <c r="Y95" s="1188"/>
      <c r="Z95" s="1188"/>
    </row>
    <row r="96" spans="2:26" ht="12.95" customHeight="1" x14ac:dyDescent="0.2">
      <c r="B96" s="170"/>
      <c r="C96" s="131"/>
      <c r="D96" s="131"/>
      <c r="E96" s="131"/>
      <c r="F96" s="131"/>
      <c r="G96" s="131"/>
      <c r="H96" s="131"/>
      <c r="I96" s="131"/>
      <c r="J96" s="131"/>
      <c r="K96" s="131"/>
      <c r="L96" s="1058"/>
      <c r="M96" s="1095"/>
      <c r="N96" s="2739"/>
      <c r="O96" s="2739"/>
      <c r="P96" s="2740"/>
      <c r="U96" s="407"/>
      <c r="V96" s="1378"/>
      <c r="W96" s="1187"/>
      <c r="X96" s="1187"/>
      <c r="Y96" s="1188"/>
      <c r="Z96" s="1188"/>
    </row>
    <row r="97" spans="2:26" ht="12.95" customHeight="1" x14ac:dyDescent="0.2">
      <c r="B97" s="170"/>
      <c r="C97" s="131"/>
      <c r="D97" s="131"/>
      <c r="E97" s="131"/>
      <c r="F97" s="131"/>
      <c r="G97" s="131"/>
      <c r="H97" s="131"/>
      <c r="I97" s="131"/>
      <c r="J97" s="131"/>
      <c r="K97" s="131"/>
      <c r="L97" s="1382"/>
      <c r="M97" s="1095"/>
      <c r="N97" s="2739"/>
      <c r="O97" s="2739"/>
      <c r="P97" s="2740"/>
      <c r="Q97" s="1221"/>
      <c r="U97" s="407"/>
      <c r="V97" s="1378"/>
      <c r="W97" s="1187"/>
      <c r="X97" s="1187"/>
      <c r="Y97" s="1188"/>
      <c r="Z97" s="1188"/>
    </row>
    <row r="98" spans="2:26" ht="12.95" customHeight="1" x14ac:dyDescent="0.2">
      <c r="B98" s="170"/>
      <c r="C98" s="131"/>
      <c r="D98" s="131"/>
      <c r="E98" s="131"/>
      <c r="F98" s="131"/>
      <c r="G98" s="131"/>
      <c r="H98" s="131"/>
      <c r="I98" s="131"/>
      <c r="J98" s="131"/>
      <c r="K98" s="131"/>
      <c r="L98" s="144"/>
      <c r="M98" s="2199" t="str">
        <f>'[1]RECAP APBD'!M50:S50</f>
        <v>Bustami, SH</v>
      </c>
      <c r="N98" s="2199"/>
      <c r="O98" s="2199"/>
      <c r="P98" s="2200"/>
      <c r="Q98" s="22"/>
      <c r="U98" s="407"/>
      <c r="V98" s="1378"/>
      <c r="W98" s="1187"/>
      <c r="X98" s="1187"/>
      <c r="Y98" s="1188"/>
      <c r="Z98" s="1188"/>
    </row>
    <row r="99" spans="2:26" ht="12.95" customHeight="1" x14ac:dyDescent="0.2">
      <c r="B99" s="731"/>
      <c r="C99" s="732"/>
      <c r="D99" s="732"/>
      <c r="E99" s="732"/>
      <c r="F99" s="732"/>
      <c r="G99" s="732"/>
      <c r="H99" s="732"/>
      <c r="I99" s="732"/>
      <c r="J99" s="732"/>
      <c r="K99" s="732"/>
      <c r="L99" s="732"/>
      <c r="M99" s="2683" t="str">
        <f>'RECAP APBD'!E49</f>
        <v>Pembina Utama Muda / Nip. 19630824 198703 1 004</v>
      </c>
      <c r="N99" s="2683"/>
      <c r="O99" s="2683"/>
      <c r="P99" s="2696"/>
      <c r="Q99" s="131"/>
      <c r="S99" s="1240"/>
      <c r="U99" s="407"/>
      <c r="V99" s="1378"/>
      <c r="W99" s="1187"/>
      <c r="X99" s="1187"/>
      <c r="Y99" s="1188"/>
      <c r="Z99" s="1188"/>
    </row>
    <row r="100" spans="2:26" ht="12.95" customHeight="1" x14ac:dyDescent="0.2">
      <c r="B100" s="2501" t="s">
        <v>140</v>
      </c>
      <c r="C100" s="2502"/>
      <c r="D100" s="2502"/>
      <c r="E100" s="2502"/>
      <c r="F100" s="2502"/>
      <c r="G100" s="2502"/>
      <c r="H100" s="2502"/>
      <c r="I100" s="2502"/>
      <c r="J100" s="2502"/>
      <c r="K100" s="2502"/>
      <c r="L100" s="2502"/>
      <c r="M100" s="2513"/>
      <c r="N100" s="2513"/>
      <c r="O100" s="2513"/>
      <c r="P100" s="2514"/>
      <c r="U100" s="407"/>
      <c r="V100" s="1378"/>
      <c r="W100" s="1187"/>
      <c r="X100" s="1187"/>
      <c r="Y100" s="1188"/>
      <c r="Z100" s="1188"/>
    </row>
    <row r="101" spans="2:26" ht="12.95" customHeight="1" x14ac:dyDescent="0.2">
      <c r="B101" s="2501" t="s">
        <v>22</v>
      </c>
      <c r="C101" s="2502"/>
      <c r="D101" s="2502"/>
      <c r="E101" s="2502"/>
      <c r="F101" s="2502"/>
      <c r="G101" s="2502"/>
      <c r="H101" s="2502"/>
      <c r="I101" s="2502"/>
      <c r="J101" s="2502"/>
      <c r="K101" s="2502"/>
      <c r="L101" s="2502"/>
      <c r="M101" s="251"/>
      <c r="N101" s="2508"/>
      <c r="O101" s="2508"/>
      <c r="P101" s="2509"/>
      <c r="U101" s="407"/>
      <c r="V101" s="1378"/>
      <c r="W101" s="1187"/>
      <c r="X101" s="1187"/>
      <c r="Y101" s="1188"/>
      <c r="Z101" s="1188"/>
    </row>
    <row r="102" spans="2:26" ht="12.95" customHeight="1" x14ac:dyDescent="0.2">
      <c r="B102" s="2501" t="s">
        <v>21</v>
      </c>
      <c r="C102" s="2502"/>
      <c r="D102" s="2502"/>
      <c r="E102" s="2502"/>
      <c r="F102" s="2502"/>
      <c r="G102" s="2502"/>
      <c r="H102" s="2502"/>
      <c r="I102" s="2502"/>
      <c r="J102" s="2502"/>
      <c r="K102" s="2502"/>
      <c r="L102" s="2502"/>
      <c r="M102" s="251"/>
      <c r="N102" s="2503"/>
      <c r="O102" s="2503"/>
      <c r="P102" s="2504"/>
      <c r="U102" s="407"/>
      <c r="V102" s="1378"/>
      <c r="W102" s="1187"/>
      <c r="X102" s="1187"/>
      <c r="Y102" s="1188"/>
      <c r="Z102" s="1188"/>
    </row>
    <row r="103" spans="2:26" ht="12.95" customHeight="1" x14ac:dyDescent="0.2">
      <c r="B103" s="2501" t="s">
        <v>204</v>
      </c>
      <c r="C103" s="2502"/>
      <c r="D103" s="2502"/>
      <c r="E103" s="2502"/>
      <c r="F103" s="2502"/>
      <c r="G103" s="2502"/>
      <c r="H103" s="2502"/>
      <c r="I103" s="2502"/>
      <c r="J103" s="2502"/>
      <c r="K103" s="2502"/>
      <c r="L103" s="2502"/>
      <c r="M103" s="2502"/>
      <c r="N103" s="2502"/>
      <c r="O103" s="2502"/>
      <c r="P103" s="2505"/>
      <c r="U103" s="407"/>
      <c r="V103" s="1378"/>
      <c r="W103" s="1187"/>
      <c r="X103" s="1187"/>
      <c r="Y103" s="1188"/>
      <c r="Z103" s="1188"/>
    </row>
    <row r="104" spans="2:26" ht="12.95" customHeight="1" x14ac:dyDescent="0.2">
      <c r="B104" s="2501" t="s">
        <v>205</v>
      </c>
      <c r="C104" s="2502"/>
      <c r="D104" s="2502"/>
      <c r="E104" s="2502"/>
      <c r="F104" s="2502"/>
      <c r="G104" s="2502"/>
      <c r="H104" s="2502"/>
      <c r="I104" s="2502"/>
      <c r="J104" s="2502"/>
      <c r="K104" s="2502"/>
      <c r="L104" s="2502"/>
      <c r="M104" s="2502"/>
      <c r="N104" s="2502"/>
      <c r="O104" s="2502"/>
      <c r="P104" s="2505"/>
      <c r="U104" s="407"/>
      <c r="V104" s="1378"/>
      <c r="W104" s="1187"/>
      <c r="X104" s="1187"/>
      <c r="Y104" s="1188"/>
      <c r="Z104" s="1188"/>
    </row>
    <row r="105" spans="2:26" ht="12.95" customHeight="1" thickBot="1" x14ac:dyDescent="0.25">
      <c r="B105" s="2517" t="s">
        <v>206</v>
      </c>
      <c r="C105" s="2518"/>
      <c r="D105" s="2518"/>
      <c r="E105" s="2518"/>
      <c r="F105" s="2518"/>
      <c r="G105" s="2518"/>
      <c r="H105" s="2518"/>
      <c r="I105" s="2518"/>
      <c r="J105" s="2518"/>
      <c r="K105" s="2518"/>
      <c r="L105" s="2518"/>
      <c r="M105" s="2518"/>
      <c r="N105" s="2518"/>
      <c r="O105" s="2518"/>
      <c r="P105" s="2519"/>
      <c r="U105" s="407"/>
      <c r="V105" s="1378"/>
      <c r="W105" s="1187"/>
      <c r="X105" s="1187"/>
      <c r="Y105" s="1188"/>
      <c r="Z105" s="1188"/>
    </row>
    <row r="106" spans="2:26" ht="12.95" customHeight="1" thickTop="1" x14ac:dyDescent="0.2">
      <c r="B106" s="2523" t="s">
        <v>25</v>
      </c>
      <c r="C106" s="2524"/>
      <c r="D106" s="2524"/>
      <c r="E106" s="2524"/>
      <c r="F106" s="2524"/>
      <c r="G106" s="2524"/>
      <c r="H106" s="2524"/>
      <c r="I106" s="2524"/>
      <c r="J106" s="2524"/>
      <c r="K106" s="2524"/>
      <c r="L106" s="2524"/>
      <c r="M106" s="2524"/>
      <c r="N106" s="2524"/>
      <c r="O106" s="2524"/>
      <c r="P106" s="2525"/>
      <c r="U106" s="407"/>
      <c r="V106" s="1378"/>
      <c r="W106" s="1187"/>
      <c r="X106" s="1187"/>
      <c r="Y106" s="1188"/>
      <c r="Z106" s="1188"/>
    </row>
    <row r="107" spans="2:26" ht="12.95" customHeight="1" thickBot="1" x14ac:dyDescent="0.25">
      <c r="B107" s="2526" t="s">
        <v>207</v>
      </c>
      <c r="C107" s="2527"/>
      <c r="D107" s="2528" t="s">
        <v>208</v>
      </c>
      <c r="E107" s="2529"/>
      <c r="F107" s="2529"/>
      <c r="G107" s="2529"/>
      <c r="H107" s="2529"/>
      <c r="I107" s="2529"/>
      <c r="J107" s="2529"/>
      <c r="K107" s="2529"/>
      <c r="L107" s="2530"/>
      <c r="M107" s="2531" t="s">
        <v>209</v>
      </c>
      <c r="N107" s="2530"/>
      <c r="O107" s="4" t="s">
        <v>210</v>
      </c>
      <c r="P107" s="92" t="s">
        <v>211</v>
      </c>
      <c r="Q107" s="1256"/>
      <c r="R107" s="1256"/>
      <c r="S107" s="1071"/>
      <c r="T107" s="1257"/>
      <c r="U107" s="407"/>
      <c r="V107" s="1378"/>
      <c r="W107" s="1187"/>
      <c r="X107" s="1187"/>
      <c r="Y107" s="1188"/>
      <c r="Z107" s="1188"/>
    </row>
    <row r="108" spans="2:26" ht="12.95" customHeight="1" thickTop="1" x14ac:dyDescent="0.2">
      <c r="B108" s="2535">
        <v>1</v>
      </c>
      <c r="C108" s="2536"/>
      <c r="D108" s="2532"/>
      <c r="E108" s="2533"/>
      <c r="F108" s="2533"/>
      <c r="G108" s="2533"/>
      <c r="H108" s="2533"/>
      <c r="I108" s="2533"/>
      <c r="J108" s="2533"/>
      <c r="K108" s="2533"/>
      <c r="L108" s="2534"/>
      <c r="M108" s="2538"/>
      <c r="N108" s="2539"/>
      <c r="O108" s="1073"/>
      <c r="P108" s="1177" t="s">
        <v>10</v>
      </c>
      <c r="Q108" s="1256"/>
      <c r="R108" s="1256"/>
      <c r="S108" s="1058"/>
      <c r="T108" s="1257"/>
      <c r="U108" s="407"/>
      <c r="V108" s="1378"/>
      <c r="W108" s="1187"/>
      <c r="X108" s="1187"/>
      <c r="Y108" s="1188"/>
      <c r="Z108" s="1188"/>
    </row>
    <row r="109" spans="2:26" ht="12.95" customHeight="1" x14ac:dyDescent="0.2">
      <c r="B109" s="2522">
        <v>2</v>
      </c>
      <c r="C109" s="2240"/>
      <c r="D109" s="1116"/>
      <c r="E109" s="1117"/>
      <c r="F109" s="1117"/>
      <c r="G109" s="1117"/>
      <c r="H109" s="1117"/>
      <c r="I109" s="1117"/>
      <c r="J109" s="1117"/>
      <c r="K109" s="1117"/>
      <c r="L109" s="1118"/>
      <c r="M109" s="2442"/>
      <c r="N109" s="2247"/>
      <c r="O109" s="1085"/>
      <c r="P109" s="1177" t="s">
        <v>11</v>
      </c>
      <c r="Q109" s="1256"/>
      <c r="R109" s="1256"/>
      <c r="S109" s="1058"/>
      <c r="T109" s="1257"/>
    </row>
    <row r="110" spans="2:26" ht="12.95" customHeight="1" x14ac:dyDescent="0.2">
      <c r="B110" s="2522">
        <v>3</v>
      </c>
      <c r="C110" s="2240"/>
      <c r="D110" s="1116"/>
      <c r="E110" s="1117"/>
      <c r="F110" s="1117"/>
      <c r="G110" s="1117"/>
      <c r="H110" s="1117"/>
      <c r="I110" s="1117"/>
      <c r="J110" s="1117"/>
      <c r="K110" s="1117"/>
      <c r="L110" s="1118"/>
      <c r="M110" s="2442"/>
      <c r="N110" s="2247"/>
      <c r="O110" s="1085"/>
      <c r="P110" s="1177" t="s">
        <v>12</v>
      </c>
      <c r="Q110" s="1259"/>
      <c r="R110" s="1259"/>
      <c r="S110" s="1058"/>
      <c r="T110" s="1257"/>
      <c r="Z110" s="725"/>
    </row>
    <row r="111" spans="2:26" ht="12.95" customHeight="1" x14ac:dyDescent="0.2">
      <c r="B111" s="2522">
        <v>4</v>
      </c>
      <c r="C111" s="2240"/>
      <c r="D111" s="1116"/>
      <c r="E111" s="1117"/>
      <c r="F111" s="1117"/>
      <c r="G111" s="1117"/>
      <c r="H111" s="1117"/>
      <c r="I111" s="1117"/>
      <c r="J111" s="1117"/>
      <c r="K111" s="1117"/>
      <c r="L111" s="1118"/>
      <c r="M111" s="2443"/>
      <c r="N111" s="2253"/>
      <c r="O111" s="1085"/>
      <c r="P111" s="1177" t="s">
        <v>13</v>
      </c>
      <c r="Q111" s="1259"/>
      <c r="R111" s="1259"/>
      <c r="S111" s="1058"/>
      <c r="T111" s="1257"/>
    </row>
    <row r="112" spans="2:26" ht="12.95" customHeight="1" x14ac:dyDescent="0.2">
      <c r="B112" s="2522">
        <v>5</v>
      </c>
      <c r="C112" s="2240"/>
      <c r="D112" s="1116"/>
      <c r="E112" s="1117"/>
      <c r="F112" s="1117"/>
      <c r="G112" s="1117"/>
      <c r="H112" s="1117"/>
      <c r="I112" s="1117"/>
      <c r="J112" s="1117"/>
      <c r="K112" s="1117"/>
      <c r="L112" s="1118"/>
      <c r="M112" s="2443"/>
      <c r="N112" s="2253"/>
      <c r="O112" s="1085"/>
      <c r="P112" s="1177" t="s">
        <v>14</v>
      </c>
      <c r="Q112" s="1259"/>
      <c r="R112" s="1259"/>
      <c r="S112" s="1058"/>
      <c r="T112" s="1260"/>
    </row>
    <row r="113" spans="2:20" ht="12.95" customHeight="1" x14ac:dyDescent="0.2">
      <c r="B113" s="2522">
        <v>6</v>
      </c>
      <c r="C113" s="2240"/>
      <c r="D113" s="1116"/>
      <c r="E113" s="1117"/>
      <c r="F113" s="1117"/>
      <c r="G113" s="1117"/>
      <c r="H113" s="1117"/>
      <c r="I113" s="1117"/>
      <c r="J113" s="1117"/>
      <c r="K113" s="1117"/>
      <c r="L113" s="1118"/>
      <c r="M113" s="2443"/>
      <c r="N113" s="2253"/>
      <c r="O113" s="1085"/>
      <c r="P113" s="1178" t="s">
        <v>42</v>
      </c>
      <c r="Q113" s="1259"/>
      <c r="R113" s="1259"/>
      <c r="S113" s="1058"/>
      <c r="T113" s="1260"/>
    </row>
    <row r="114" spans="2:20" ht="12.95" customHeight="1" thickBot="1" x14ac:dyDescent="0.25">
      <c r="B114" s="2520">
        <v>7</v>
      </c>
      <c r="C114" s="2521"/>
      <c r="D114" s="1119"/>
      <c r="E114" s="1120"/>
      <c r="F114" s="1120"/>
      <c r="G114" s="1120"/>
      <c r="H114" s="1120"/>
      <c r="I114" s="1120"/>
      <c r="J114" s="1120"/>
      <c r="K114" s="1120"/>
      <c r="L114" s="1121"/>
      <c r="M114" s="2537"/>
      <c r="N114" s="2300"/>
      <c r="O114" s="1061"/>
      <c r="P114" s="1179" t="s">
        <v>487</v>
      </c>
    </row>
    <row r="115" spans="2:20" ht="18" customHeight="1" thickTop="1" x14ac:dyDescent="0.2">
      <c r="B115" s="730"/>
      <c r="C115" s="730"/>
      <c r="D115" s="730"/>
      <c r="E115" s="730"/>
      <c r="F115" s="730"/>
      <c r="G115" s="730"/>
      <c r="H115" s="730"/>
      <c r="I115" s="730"/>
      <c r="J115" s="730"/>
      <c r="K115" s="730"/>
      <c r="L115" s="730"/>
      <c r="M115" s="1058"/>
      <c r="N115" s="730"/>
      <c r="O115" s="730"/>
      <c r="P115" s="730"/>
    </row>
    <row r="116" spans="2:20" ht="18" customHeight="1" x14ac:dyDescent="0.2">
      <c r="B116" s="730"/>
      <c r="C116" s="730"/>
      <c r="D116" s="730"/>
      <c r="E116" s="730"/>
      <c r="F116" s="730"/>
      <c r="G116" s="730"/>
      <c r="H116" s="730"/>
      <c r="I116" s="730"/>
      <c r="J116" s="730"/>
      <c r="K116" s="730"/>
      <c r="L116" s="730"/>
      <c r="M116" s="1058"/>
      <c r="N116" s="730"/>
      <c r="O116" s="730"/>
      <c r="P116" s="730"/>
    </row>
    <row r="117" spans="2:20" ht="18" customHeight="1" x14ac:dyDescent="0.2">
      <c r="B117" s="730"/>
      <c r="C117" s="730"/>
      <c r="D117" s="730"/>
      <c r="E117" s="730"/>
      <c r="F117" s="730"/>
      <c r="G117" s="730"/>
      <c r="H117" s="730"/>
      <c r="I117" s="730"/>
      <c r="J117" s="730"/>
      <c r="K117" s="730"/>
      <c r="L117" s="730"/>
      <c r="M117" s="1058"/>
      <c r="N117" s="730"/>
      <c r="O117" s="730"/>
      <c r="P117" s="730"/>
    </row>
    <row r="118" spans="2:20" ht="18" customHeight="1" x14ac:dyDescent="0.2">
      <c r="B118" s="730"/>
      <c r="C118" s="730"/>
      <c r="D118" s="730"/>
      <c r="E118" s="730"/>
      <c r="F118" s="730"/>
      <c r="G118" s="730"/>
      <c r="H118" s="730"/>
      <c r="I118" s="730"/>
      <c r="J118" s="730"/>
      <c r="K118" s="730"/>
      <c r="L118" s="730"/>
      <c r="M118" s="1058"/>
      <c r="N118" s="730"/>
      <c r="O118" s="730"/>
      <c r="P118" s="730"/>
    </row>
    <row r="119" spans="2:20" x14ac:dyDescent="0.2">
      <c r="B119" s="730"/>
      <c r="C119" s="730"/>
      <c r="D119" s="730"/>
      <c r="E119" s="730"/>
      <c r="F119" s="730"/>
      <c r="G119" s="730"/>
      <c r="H119" s="730"/>
      <c r="I119" s="730"/>
      <c r="J119" s="730"/>
      <c r="K119" s="730"/>
      <c r="L119" s="730"/>
      <c r="M119" s="1058"/>
      <c r="N119" s="730"/>
      <c r="O119" s="730"/>
    </row>
    <row r="120" spans="2:20" x14ac:dyDescent="0.2">
      <c r="B120" s="730"/>
      <c r="C120" s="730"/>
      <c r="D120" s="730"/>
      <c r="E120" s="730"/>
      <c r="F120" s="730"/>
      <c r="G120" s="730"/>
      <c r="H120" s="730"/>
      <c r="I120" s="730"/>
      <c r="J120" s="730"/>
      <c r="K120" s="730"/>
      <c r="L120" s="730"/>
      <c r="M120" s="1058"/>
      <c r="N120" s="730"/>
      <c r="O120" s="730"/>
    </row>
    <row r="121" spans="2:20" x14ac:dyDescent="0.2">
      <c r="B121" s="730"/>
      <c r="C121" s="730"/>
      <c r="D121" s="730"/>
      <c r="E121" s="730"/>
      <c r="F121" s="730"/>
      <c r="G121" s="730"/>
      <c r="H121" s="730"/>
      <c r="I121" s="730"/>
      <c r="J121" s="730"/>
      <c r="K121" s="730"/>
      <c r="L121" s="730"/>
      <c r="M121" s="1058"/>
      <c r="N121" s="730"/>
      <c r="O121" s="730"/>
    </row>
    <row r="122" spans="2:20" x14ac:dyDescent="0.2">
      <c r="B122" s="730"/>
      <c r="C122" s="730"/>
      <c r="D122" s="730"/>
      <c r="E122" s="730"/>
      <c r="F122" s="730"/>
      <c r="G122" s="730"/>
      <c r="H122" s="730"/>
      <c r="I122" s="730"/>
      <c r="J122" s="730"/>
      <c r="K122" s="730"/>
      <c r="L122" s="730"/>
      <c r="M122" s="1058"/>
      <c r="N122" s="730"/>
      <c r="O122" s="730"/>
    </row>
    <row r="123" spans="2:20" x14ac:dyDescent="0.2">
      <c r="B123" s="730"/>
      <c r="C123" s="730"/>
      <c r="D123" s="730"/>
      <c r="E123" s="730"/>
      <c r="F123" s="730"/>
      <c r="G123" s="730"/>
      <c r="H123" s="730"/>
      <c r="I123" s="730"/>
      <c r="J123" s="730"/>
      <c r="K123" s="730"/>
      <c r="L123" s="730"/>
      <c r="M123" s="1058"/>
      <c r="N123" s="730"/>
      <c r="O123" s="730"/>
    </row>
    <row r="124" spans="2:20" x14ac:dyDescent="0.2">
      <c r="B124" s="730"/>
      <c r="C124" s="730"/>
      <c r="D124" s="730"/>
      <c r="E124" s="730"/>
      <c r="F124" s="730"/>
      <c r="G124" s="730"/>
      <c r="H124" s="730"/>
      <c r="I124" s="730"/>
      <c r="J124" s="730"/>
      <c r="K124" s="730"/>
      <c r="L124" s="730"/>
      <c r="M124" s="1058"/>
      <c r="N124" s="730"/>
      <c r="O124" s="730"/>
    </row>
    <row r="125" spans="2:20" x14ac:dyDescent="0.2">
      <c r="B125" s="730"/>
      <c r="C125" s="730"/>
      <c r="D125" s="730"/>
      <c r="E125" s="730"/>
      <c r="F125" s="730"/>
      <c r="G125" s="730"/>
      <c r="H125" s="730"/>
      <c r="I125" s="730"/>
      <c r="J125" s="730"/>
      <c r="K125" s="730"/>
      <c r="L125" s="730"/>
      <c r="M125" s="1058"/>
      <c r="N125" s="730"/>
      <c r="O125" s="730"/>
    </row>
    <row r="126" spans="2:20" x14ac:dyDescent="0.2">
      <c r="B126" s="730"/>
      <c r="C126" s="730"/>
      <c r="D126" s="730"/>
      <c r="E126" s="730"/>
      <c r="F126" s="730"/>
      <c r="G126" s="730"/>
      <c r="H126" s="730"/>
      <c r="I126" s="730"/>
      <c r="J126" s="730"/>
      <c r="K126" s="730"/>
      <c r="L126" s="730"/>
      <c r="M126" s="1058"/>
      <c r="N126" s="730"/>
      <c r="O126" s="730"/>
      <c r="P126" s="730"/>
    </row>
    <row r="127" spans="2:20" x14ac:dyDescent="0.2">
      <c r="B127" s="730"/>
      <c r="C127" s="730"/>
      <c r="D127" s="730"/>
      <c r="E127" s="730"/>
      <c r="F127" s="730"/>
      <c r="G127" s="730"/>
      <c r="H127" s="730"/>
      <c r="I127" s="730"/>
      <c r="J127" s="730"/>
      <c r="K127" s="730"/>
      <c r="L127" s="730"/>
      <c r="M127" s="1058"/>
      <c r="N127" s="730"/>
      <c r="O127" s="730"/>
      <c r="P127" s="730"/>
    </row>
    <row r="128" spans="2:20" x14ac:dyDescent="0.2">
      <c r="B128" s="730"/>
      <c r="C128" s="730"/>
      <c r="D128" s="730"/>
      <c r="E128" s="730"/>
      <c r="F128" s="730"/>
      <c r="G128" s="730"/>
      <c r="H128" s="730"/>
      <c r="I128" s="730"/>
      <c r="J128" s="730"/>
      <c r="K128" s="730"/>
      <c r="L128" s="730"/>
      <c r="M128" s="1058"/>
      <c r="N128" s="730"/>
      <c r="O128" s="730"/>
      <c r="P128" s="730"/>
    </row>
    <row r="129" spans="2:16" x14ac:dyDescent="0.2">
      <c r="B129" s="730"/>
      <c r="C129" s="730"/>
      <c r="D129" s="730"/>
      <c r="E129" s="730"/>
      <c r="F129" s="730"/>
      <c r="G129" s="730"/>
      <c r="H129" s="730"/>
      <c r="I129" s="730"/>
      <c r="J129" s="730"/>
      <c r="K129" s="730"/>
      <c r="L129" s="730"/>
      <c r="M129" s="1058"/>
      <c r="N129" s="730"/>
      <c r="O129" s="730"/>
      <c r="P129" s="730"/>
    </row>
    <row r="130" spans="2:16" x14ac:dyDescent="0.2">
      <c r="B130" s="730"/>
      <c r="C130" s="730"/>
      <c r="D130" s="730"/>
      <c r="E130" s="730"/>
      <c r="F130" s="730"/>
      <c r="G130" s="730"/>
      <c r="H130" s="730"/>
      <c r="I130" s="730"/>
      <c r="J130" s="730"/>
      <c r="K130" s="730"/>
      <c r="L130" s="730"/>
      <c r="M130" s="1058"/>
      <c r="N130" s="730"/>
      <c r="O130" s="730"/>
      <c r="P130" s="730"/>
    </row>
  </sheetData>
  <mergeCells count="90">
    <mergeCell ref="P2:P3"/>
    <mergeCell ref="B4:O4"/>
    <mergeCell ref="P4:P5"/>
    <mergeCell ref="B5:O5"/>
    <mergeCell ref="F2:O2"/>
    <mergeCell ref="F3:O3"/>
    <mergeCell ref="B6:K6"/>
    <mergeCell ref="M6:P6"/>
    <mergeCell ref="B7:K7"/>
    <mergeCell ref="M7:P7"/>
    <mergeCell ref="B8:K8"/>
    <mergeCell ref="M8:P8"/>
    <mergeCell ref="B9:K9"/>
    <mergeCell ref="R9:V9"/>
    <mergeCell ref="B10:K10"/>
    <mergeCell ref="L10:P10"/>
    <mergeCell ref="M9:P9"/>
    <mergeCell ref="B11:K11"/>
    <mergeCell ref="B12:K12"/>
    <mergeCell ref="B13:K13"/>
    <mergeCell ref="B14:P14"/>
    <mergeCell ref="B15:K15"/>
    <mergeCell ref="L15:N15"/>
    <mergeCell ref="O15:P15"/>
    <mergeCell ref="B16:K16"/>
    <mergeCell ref="L16:N16"/>
    <mergeCell ref="O16:P16"/>
    <mergeCell ref="R16:U16"/>
    <mergeCell ref="B17:K17"/>
    <mergeCell ref="L17:N17"/>
    <mergeCell ref="O17:P17"/>
    <mergeCell ref="R17:U17"/>
    <mergeCell ref="B18:K18"/>
    <mergeCell ref="L18:N18"/>
    <mergeCell ref="O18:P18"/>
    <mergeCell ref="R18:U18"/>
    <mergeCell ref="B19:K19"/>
    <mergeCell ref="L19:N19"/>
    <mergeCell ref="O19:P19"/>
    <mergeCell ref="R19:U19"/>
    <mergeCell ref="B21:P21"/>
    <mergeCell ref="B22:P22"/>
    <mergeCell ref="B23:P23"/>
    <mergeCell ref="B24:K24"/>
    <mergeCell ref="L24:L27"/>
    <mergeCell ref="M24:O24"/>
    <mergeCell ref="B25:K25"/>
    <mergeCell ref="M25:M27"/>
    <mergeCell ref="N25:N27"/>
    <mergeCell ref="O25:O27"/>
    <mergeCell ref="N97:P97"/>
    <mergeCell ref="B26:K26"/>
    <mergeCell ref="B27:K27"/>
    <mergeCell ref="B28:K28"/>
    <mergeCell ref="M93:P93"/>
    <mergeCell ref="M94:P94"/>
    <mergeCell ref="M95:P95"/>
    <mergeCell ref="N96:P96"/>
    <mergeCell ref="B102:L102"/>
    <mergeCell ref="N102:P102"/>
    <mergeCell ref="B103:P103"/>
    <mergeCell ref="B104:P104"/>
    <mergeCell ref="B105:P105"/>
    <mergeCell ref="M98:P98"/>
    <mergeCell ref="M99:P99"/>
    <mergeCell ref="B100:L100"/>
    <mergeCell ref="M100:P100"/>
    <mergeCell ref="B101:L101"/>
    <mergeCell ref="N101:P101"/>
    <mergeCell ref="B113:C113"/>
    <mergeCell ref="M107:N107"/>
    <mergeCell ref="M108:N108"/>
    <mergeCell ref="M109:N109"/>
    <mergeCell ref="B109:C109"/>
    <mergeCell ref="B114:C114"/>
    <mergeCell ref="M114:N114"/>
    <mergeCell ref="M91:O91"/>
    <mergeCell ref="B20:P20"/>
    <mergeCell ref="B106:P106"/>
    <mergeCell ref="B107:C107"/>
    <mergeCell ref="D107:L107"/>
    <mergeCell ref="B108:C108"/>
    <mergeCell ref="D108:L108"/>
    <mergeCell ref="M113:N113"/>
    <mergeCell ref="M110:N110"/>
    <mergeCell ref="M111:N111"/>
    <mergeCell ref="M112:N112"/>
    <mergeCell ref="B110:C110"/>
    <mergeCell ref="B111:C111"/>
    <mergeCell ref="B112:C112"/>
  </mergeCells>
  <pageMargins left="0.95" right="0.7" top="0.75" bottom="0.75" header="0.3" footer="0.3"/>
  <pageSetup paperSize="5" scale="70" orientation="portrait" horizontalDpi="0" verticalDpi="0" r:id="rId1"/>
  <rowBreaks count="1" manualBreakCount="1">
    <brk id="77" min="1" max="15" man="1"/>
  </rowBreaks>
  <colBreaks count="1" manualBreakCount="1">
    <brk id="16" max="1048575" man="1"/>
  </col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12"/>
  <sheetViews>
    <sheetView view="pageBreakPreview" topLeftCell="F37" zoomScale="70" zoomScaleNormal="100" zoomScaleSheetLayoutView="70" workbookViewId="0">
      <selection activeCell="M71" sqref="M71"/>
    </sheetView>
  </sheetViews>
  <sheetFormatPr defaultColWidth="8.7109375" defaultRowHeight="12.75" x14ac:dyDescent="0.2"/>
  <cols>
    <col min="1" max="1" width="5.140625" style="715" customWidth="1"/>
    <col min="2" max="11" width="2.7109375" style="715" customWidth="1"/>
    <col min="12" max="12" width="47.5703125" style="715" customWidth="1"/>
    <col min="13" max="13" width="11.85546875" style="715" customWidth="1"/>
    <col min="14" max="14" width="8.5703125" style="715" customWidth="1"/>
    <col min="15" max="15" width="13.5703125" style="715" customWidth="1"/>
    <col min="16" max="16" width="16.5703125" style="715" customWidth="1"/>
    <col min="17" max="17" width="14" style="715" bestFit="1" customWidth="1"/>
    <col min="18" max="18" width="13.140625" style="715" customWidth="1"/>
    <col min="19" max="19" width="8.7109375" style="715"/>
    <col min="20" max="20" width="10.28515625" style="715" bestFit="1" customWidth="1"/>
    <col min="21" max="21" width="13.28515625" style="715" bestFit="1" customWidth="1"/>
    <col min="22" max="16384" width="8.7109375" style="715"/>
  </cols>
  <sheetData>
    <row r="1" spans="2:16" ht="13.5" thickBot="1" x14ac:dyDescent="0.25"/>
    <row r="2" spans="2:16" ht="18.95" customHeight="1" thickTop="1" x14ac:dyDescent="0.2">
      <c r="B2" s="72"/>
      <c r="C2" s="73"/>
      <c r="D2" s="73"/>
      <c r="E2" s="73"/>
      <c r="F2" s="2174" t="s">
        <v>182</v>
      </c>
      <c r="G2" s="2174"/>
      <c r="H2" s="2174"/>
      <c r="I2" s="2174"/>
      <c r="J2" s="2174"/>
      <c r="K2" s="2174"/>
      <c r="L2" s="2174"/>
      <c r="M2" s="2174"/>
      <c r="N2" s="2174"/>
      <c r="O2" s="2175"/>
      <c r="P2" s="2178" t="s">
        <v>67</v>
      </c>
    </row>
    <row r="3" spans="2:16" ht="18.95" customHeight="1" x14ac:dyDescent="0.2">
      <c r="B3" s="74"/>
      <c r="C3" s="7"/>
      <c r="D3" s="7"/>
      <c r="E3" s="7"/>
      <c r="F3" s="2465" t="s">
        <v>183</v>
      </c>
      <c r="G3" s="2465"/>
      <c r="H3" s="2465"/>
      <c r="I3" s="2465"/>
      <c r="J3" s="2465"/>
      <c r="K3" s="2465"/>
      <c r="L3" s="2465"/>
      <c r="M3" s="2465"/>
      <c r="N3" s="2465"/>
      <c r="O3" s="2466"/>
      <c r="P3" s="2464"/>
    </row>
    <row r="4" spans="2:16" ht="12.95" customHeight="1" x14ac:dyDescent="0.2">
      <c r="B4" s="2182" t="s">
        <v>33</v>
      </c>
      <c r="C4" s="2183"/>
      <c r="D4" s="2183"/>
      <c r="E4" s="2183"/>
      <c r="F4" s="2183"/>
      <c r="G4" s="2183"/>
      <c r="H4" s="2183"/>
      <c r="I4" s="2183"/>
      <c r="J4" s="2183"/>
      <c r="K4" s="2183"/>
      <c r="L4" s="2183"/>
      <c r="M4" s="2183"/>
      <c r="N4" s="2183"/>
      <c r="O4" s="2604"/>
      <c r="P4" s="2605" t="s">
        <v>30</v>
      </c>
    </row>
    <row r="5" spans="2:16" ht="12.95" customHeight="1" thickBot="1" x14ac:dyDescent="0.25">
      <c r="B5" s="2373" t="str">
        <f>'RECAP APBD'!B5:F5</f>
        <v>Tahun Anggaran 2020</v>
      </c>
      <c r="C5" s="2374"/>
      <c r="D5" s="2374"/>
      <c r="E5" s="2374"/>
      <c r="F5" s="2374"/>
      <c r="G5" s="2374"/>
      <c r="H5" s="2374"/>
      <c r="I5" s="2374"/>
      <c r="J5" s="2374"/>
      <c r="K5" s="2374"/>
      <c r="L5" s="2374"/>
      <c r="M5" s="2374"/>
      <c r="N5" s="2374"/>
      <c r="O5" s="2470"/>
      <c r="P5" s="2606"/>
    </row>
    <row r="6" spans="2:16" ht="12.95" customHeight="1" x14ac:dyDescent="0.2">
      <c r="B6" s="2462" t="s">
        <v>453</v>
      </c>
      <c r="C6" s="2463"/>
      <c r="D6" s="2463"/>
      <c r="E6" s="2463"/>
      <c r="F6" s="2463"/>
      <c r="G6" s="2463"/>
      <c r="H6" s="2463"/>
      <c r="I6" s="2463"/>
      <c r="J6" s="2463"/>
      <c r="K6" s="2463"/>
      <c r="L6" s="1068" t="s">
        <v>442</v>
      </c>
      <c r="M6" s="2213" t="s">
        <v>437</v>
      </c>
      <c r="N6" s="2213"/>
      <c r="O6" s="2213"/>
      <c r="P6" s="2214"/>
    </row>
    <row r="7" spans="2:16" ht="12.95" customHeight="1" x14ac:dyDescent="0.2">
      <c r="B7" s="2471" t="s">
        <v>19</v>
      </c>
      <c r="C7" s="2355"/>
      <c r="D7" s="2355"/>
      <c r="E7" s="2355"/>
      <c r="F7" s="2355"/>
      <c r="G7" s="2355"/>
      <c r="H7" s="2355"/>
      <c r="I7" s="2355"/>
      <c r="J7" s="2355"/>
      <c r="K7" s="2355"/>
      <c r="L7" s="1066" t="s">
        <v>441</v>
      </c>
      <c r="M7" s="2541" t="s">
        <v>466</v>
      </c>
      <c r="N7" s="2541"/>
      <c r="O7" s="2541"/>
      <c r="P7" s="2542"/>
    </row>
    <row r="8" spans="2:16" ht="29.1" customHeight="1" x14ac:dyDescent="0.2">
      <c r="B8" s="2722" t="s">
        <v>32</v>
      </c>
      <c r="C8" s="2723"/>
      <c r="D8" s="2723"/>
      <c r="E8" s="2723"/>
      <c r="F8" s="2723"/>
      <c r="G8" s="2723"/>
      <c r="H8" s="2723"/>
      <c r="I8" s="2723"/>
      <c r="J8" s="2723"/>
      <c r="K8" s="2723"/>
      <c r="L8" s="1093" t="s">
        <v>557</v>
      </c>
      <c r="M8" s="2593" t="s">
        <v>558</v>
      </c>
      <c r="N8" s="2593"/>
      <c r="O8" s="2593"/>
      <c r="P8" s="2594"/>
    </row>
    <row r="9" spans="2:16" ht="31.5" customHeight="1" x14ac:dyDescent="0.2">
      <c r="B9" s="2477" t="s">
        <v>20</v>
      </c>
      <c r="C9" s="2478"/>
      <c r="D9" s="2478"/>
      <c r="E9" s="2478"/>
      <c r="F9" s="2478"/>
      <c r="G9" s="2478"/>
      <c r="H9" s="2478"/>
      <c r="I9" s="2478"/>
      <c r="J9" s="2478"/>
      <c r="K9" s="2478"/>
      <c r="L9" s="1526" t="s">
        <v>560</v>
      </c>
      <c r="M9" s="2170" t="s">
        <v>559</v>
      </c>
      <c r="N9" s="2170"/>
      <c r="O9" s="2170"/>
      <c r="P9" s="2171"/>
    </row>
    <row r="10" spans="2:16" ht="12.95" customHeight="1" x14ac:dyDescent="0.2">
      <c r="B10" s="2471" t="s">
        <v>221</v>
      </c>
      <c r="C10" s="2355"/>
      <c r="D10" s="2355"/>
      <c r="E10" s="2355"/>
      <c r="F10" s="2355"/>
      <c r="G10" s="2355"/>
      <c r="H10" s="2355"/>
      <c r="I10" s="2355"/>
      <c r="J10" s="2355"/>
      <c r="K10" s="2355"/>
      <c r="L10" s="2475" t="s">
        <v>899</v>
      </c>
      <c r="M10" s="2475"/>
      <c r="N10" s="2475"/>
      <c r="O10" s="2475"/>
      <c r="P10" s="2476"/>
    </row>
    <row r="11" spans="2:16" ht="12.95" customHeight="1" x14ac:dyDescent="0.2">
      <c r="B11" s="2471" t="s">
        <v>222</v>
      </c>
      <c r="C11" s="2355"/>
      <c r="D11" s="2355"/>
      <c r="E11" s="2355"/>
      <c r="F11" s="2355"/>
      <c r="G11" s="2355"/>
      <c r="H11" s="2355"/>
      <c r="I11" s="2355"/>
      <c r="J11" s="2355"/>
      <c r="K11" s="2355"/>
      <c r="L11" s="35">
        <v>0</v>
      </c>
      <c r="M11" s="35"/>
      <c r="N11" s="35"/>
      <c r="O11" s="35"/>
      <c r="P11" s="77"/>
    </row>
    <row r="12" spans="2:16" ht="12.95" customHeight="1" x14ac:dyDescent="0.2">
      <c r="B12" s="2471" t="s">
        <v>223</v>
      </c>
      <c r="C12" s="2355"/>
      <c r="D12" s="2355"/>
      <c r="E12" s="2355"/>
      <c r="F12" s="2355"/>
      <c r="G12" s="2355"/>
      <c r="H12" s="2355"/>
      <c r="I12" s="2355"/>
      <c r="J12" s="2355"/>
      <c r="K12" s="2355"/>
      <c r="L12" s="152">
        <f>+P29</f>
        <v>0</v>
      </c>
      <c r="M12" s="35"/>
      <c r="N12" s="35"/>
      <c r="O12" s="35"/>
      <c r="P12" s="77"/>
    </row>
    <row r="13" spans="2:16" ht="12.95" customHeight="1" x14ac:dyDescent="0.2">
      <c r="B13" s="2471" t="s">
        <v>224</v>
      </c>
      <c r="C13" s="2355"/>
      <c r="D13" s="2355"/>
      <c r="E13" s="2355"/>
      <c r="F13" s="2355"/>
      <c r="G13" s="2355"/>
      <c r="H13" s="2355"/>
      <c r="I13" s="2355"/>
      <c r="J13" s="2355"/>
      <c r="K13" s="2355"/>
      <c r="L13" s="152">
        <v>30000000</v>
      </c>
      <c r="M13" s="35"/>
      <c r="N13" s="35"/>
      <c r="O13" s="35"/>
      <c r="P13" s="77"/>
    </row>
    <row r="14" spans="2:16" ht="12.95" customHeight="1" x14ac:dyDescent="0.2">
      <c r="B14" s="2479" t="s">
        <v>225</v>
      </c>
      <c r="C14" s="2289"/>
      <c r="D14" s="2289"/>
      <c r="E14" s="2289"/>
      <c r="F14" s="2289"/>
      <c r="G14" s="2289"/>
      <c r="H14" s="2289"/>
      <c r="I14" s="2289"/>
      <c r="J14" s="2289"/>
      <c r="K14" s="2289"/>
      <c r="L14" s="2289"/>
      <c r="M14" s="2289"/>
      <c r="N14" s="2289"/>
      <c r="O14" s="2289"/>
      <c r="P14" s="2290"/>
    </row>
    <row r="15" spans="2:16" ht="12.95" customHeight="1" x14ac:dyDescent="0.2">
      <c r="B15" s="2479" t="s">
        <v>36</v>
      </c>
      <c r="C15" s="2289"/>
      <c r="D15" s="2289"/>
      <c r="E15" s="2289"/>
      <c r="F15" s="2289"/>
      <c r="G15" s="2289"/>
      <c r="H15" s="2289"/>
      <c r="I15" s="2289"/>
      <c r="J15" s="2289"/>
      <c r="K15" s="2512"/>
      <c r="L15" s="2607" t="s">
        <v>226</v>
      </c>
      <c r="M15" s="2289"/>
      <c r="N15" s="2512"/>
      <c r="O15" s="2607" t="s">
        <v>227</v>
      </c>
      <c r="P15" s="2290"/>
    </row>
    <row r="16" spans="2:16" ht="12.95" customHeight="1" x14ac:dyDescent="0.2">
      <c r="B16" s="2454" t="s">
        <v>37</v>
      </c>
      <c r="C16" s="2286"/>
      <c r="D16" s="2286"/>
      <c r="E16" s="2286"/>
      <c r="F16" s="2286"/>
      <c r="G16" s="2286"/>
      <c r="H16" s="2286"/>
      <c r="I16" s="2286"/>
      <c r="J16" s="2286"/>
      <c r="K16" s="2724"/>
      <c r="L16" s="2829" t="s">
        <v>784</v>
      </c>
      <c r="M16" s="2830"/>
      <c r="N16" s="2831"/>
      <c r="O16" s="2608">
        <v>1</v>
      </c>
      <c r="P16" s="2609"/>
    </row>
    <row r="17" spans="2:18" ht="12.95" customHeight="1" x14ac:dyDescent="0.2">
      <c r="B17" s="2454" t="s">
        <v>228</v>
      </c>
      <c r="C17" s="2286"/>
      <c r="D17" s="2286"/>
      <c r="E17" s="2286"/>
      <c r="F17" s="2286"/>
      <c r="G17" s="2286"/>
      <c r="H17" s="2286"/>
      <c r="I17" s="2286"/>
      <c r="J17" s="2286"/>
      <c r="K17" s="2724"/>
      <c r="L17" s="2829" t="s">
        <v>287</v>
      </c>
      <c r="M17" s="2830"/>
      <c r="N17" s="2831"/>
      <c r="O17" s="2610">
        <f>P29</f>
        <v>0</v>
      </c>
      <c r="P17" s="2611"/>
    </row>
    <row r="18" spans="2:18" ht="12.95" customHeight="1" x14ac:dyDescent="0.2">
      <c r="B18" s="2584" t="s">
        <v>229</v>
      </c>
      <c r="C18" s="2585"/>
      <c r="D18" s="2585"/>
      <c r="E18" s="2585"/>
      <c r="F18" s="2585"/>
      <c r="G18" s="2585"/>
      <c r="H18" s="2585"/>
      <c r="I18" s="2585"/>
      <c r="J18" s="2585"/>
      <c r="K18" s="2732"/>
      <c r="L18" s="2795" t="s">
        <v>694</v>
      </c>
      <c r="M18" s="2796"/>
      <c r="N18" s="2797"/>
      <c r="O18" s="2728" t="s">
        <v>718</v>
      </c>
      <c r="P18" s="2729"/>
    </row>
    <row r="19" spans="2:18" s="836" customFormat="1" ht="24.95" customHeight="1" x14ac:dyDescent="0.2">
      <c r="B19" s="2584" t="s">
        <v>230</v>
      </c>
      <c r="C19" s="2585"/>
      <c r="D19" s="2585"/>
      <c r="E19" s="2585"/>
      <c r="F19" s="2585"/>
      <c r="G19" s="2585"/>
      <c r="H19" s="2585"/>
      <c r="I19" s="2585"/>
      <c r="J19" s="2585"/>
      <c r="K19" s="2732"/>
      <c r="L19" s="2795" t="s">
        <v>922</v>
      </c>
      <c r="M19" s="2796"/>
      <c r="N19" s="2797"/>
      <c r="O19" s="2728">
        <v>0.94</v>
      </c>
      <c r="P19" s="2729"/>
    </row>
    <row r="20" spans="2:18" ht="6.95" customHeight="1" x14ac:dyDescent="0.2">
      <c r="B20" s="2445"/>
      <c r="C20" s="2446"/>
      <c r="D20" s="2446"/>
      <c r="E20" s="2446"/>
      <c r="F20" s="2446"/>
      <c r="G20" s="2446"/>
      <c r="H20" s="2446"/>
      <c r="I20" s="2446"/>
      <c r="J20" s="2446"/>
      <c r="K20" s="2446"/>
      <c r="L20" s="2446"/>
      <c r="M20" s="2446"/>
      <c r="N20" s="2446"/>
      <c r="O20" s="2446"/>
      <c r="P20" s="2447"/>
    </row>
    <row r="21" spans="2:18" ht="12.95" customHeight="1" x14ac:dyDescent="0.2">
      <c r="B21" s="2832" t="s">
        <v>555</v>
      </c>
      <c r="C21" s="2833"/>
      <c r="D21" s="2833"/>
      <c r="E21" s="2833"/>
      <c r="F21" s="2833"/>
      <c r="G21" s="2833"/>
      <c r="H21" s="2833"/>
      <c r="I21" s="2833"/>
      <c r="J21" s="2833"/>
      <c r="K21" s="2833"/>
      <c r="L21" s="2833"/>
      <c r="M21" s="2833"/>
      <c r="N21" s="2833"/>
      <c r="O21" s="2833"/>
      <c r="P21" s="2834"/>
    </row>
    <row r="22" spans="2:18" ht="12.95" customHeight="1" x14ac:dyDescent="0.2">
      <c r="B22" s="2487" t="s">
        <v>231</v>
      </c>
      <c r="C22" s="2488"/>
      <c r="D22" s="2488"/>
      <c r="E22" s="2488"/>
      <c r="F22" s="2488"/>
      <c r="G22" s="2488"/>
      <c r="H22" s="2488"/>
      <c r="I22" s="2488"/>
      <c r="J22" s="2488"/>
      <c r="K22" s="2488"/>
      <c r="L22" s="2488"/>
      <c r="M22" s="2488"/>
      <c r="N22" s="2488"/>
      <c r="O22" s="2488"/>
      <c r="P22" s="2489"/>
    </row>
    <row r="23" spans="2:18" ht="12.95" customHeight="1" x14ac:dyDescent="0.2">
      <c r="B23" s="2490" t="s">
        <v>38</v>
      </c>
      <c r="C23" s="2491"/>
      <c r="D23" s="2491"/>
      <c r="E23" s="2491"/>
      <c r="F23" s="2491"/>
      <c r="G23" s="2491"/>
      <c r="H23" s="2491"/>
      <c r="I23" s="2491"/>
      <c r="J23" s="2491"/>
      <c r="K23" s="2491"/>
      <c r="L23" s="2491"/>
      <c r="M23" s="2491"/>
      <c r="N23" s="2491"/>
      <c r="O23" s="2491"/>
      <c r="P23" s="2492"/>
    </row>
    <row r="24" spans="2:18" ht="12.95" customHeight="1" x14ac:dyDescent="0.2">
      <c r="B24" s="2493"/>
      <c r="C24" s="2264"/>
      <c r="D24" s="2264"/>
      <c r="E24" s="2264"/>
      <c r="F24" s="2264"/>
      <c r="G24" s="2264"/>
      <c r="H24" s="2264"/>
      <c r="I24" s="2264"/>
      <c r="J24" s="2264"/>
      <c r="K24" s="2494"/>
      <c r="L24" s="2603" t="s">
        <v>191</v>
      </c>
      <c r="M24" s="2742" t="s">
        <v>198</v>
      </c>
      <c r="N24" s="2499"/>
      <c r="O24" s="2743"/>
      <c r="P24" s="718"/>
    </row>
    <row r="25" spans="2:18" ht="12.95" customHeight="1" x14ac:dyDescent="0.2">
      <c r="B25" s="2448" t="s">
        <v>189</v>
      </c>
      <c r="C25" s="2449"/>
      <c r="D25" s="2449"/>
      <c r="E25" s="2449"/>
      <c r="F25" s="2449"/>
      <c r="G25" s="2449"/>
      <c r="H25" s="2449"/>
      <c r="I25" s="2449"/>
      <c r="J25" s="2449"/>
      <c r="K25" s="2450"/>
      <c r="L25" s="2405"/>
      <c r="M25" s="2750" t="s">
        <v>200</v>
      </c>
      <c r="N25" s="2603" t="s">
        <v>26</v>
      </c>
      <c r="O25" s="2603" t="s">
        <v>217</v>
      </c>
      <c r="P25" s="78" t="s">
        <v>192</v>
      </c>
    </row>
    <row r="26" spans="2:18" ht="12.95" customHeight="1" x14ac:dyDescent="0.2">
      <c r="B26" s="2448" t="s">
        <v>197</v>
      </c>
      <c r="C26" s="2449"/>
      <c r="D26" s="2449"/>
      <c r="E26" s="2449"/>
      <c r="F26" s="2449"/>
      <c r="G26" s="2449"/>
      <c r="H26" s="2449"/>
      <c r="I26" s="2449"/>
      <c r="J26" s="2449"/>
      <c r="K26" s="2450"/>
      <c r="L26" s="2405"/>
      <c r="M26" s="2496"/>
      <c r="N26" s="2405"/>
      <c r="O26" s="2405"/>
      <c r="P26" s="78" t="s">
        <v>193</v>
      </c>
    </row>
    <row r="27" spans="2:18" ht="12.95" customHeight="1" x14ac:dyDescent="0.2">
      <c r="B27" s="2451"/>
      <c r="C27" s="2452"/>
      <c r="D27" s="2452"/>
      <c r="E27" s="2452"/>
      <c r="F27" s="2452"/>
      <c r="G27" s="2452"/>
      <c r="H27" s="2452"/>
      <c r="I27" s="2452"/>
      <c r="J27" s="2452"/>
      <c r="K27" s="2453"/>
      <c r="L27" s="2406"/>
      <c r="M27" s="2497"/>
      <c r="N27" s="2406"/>
      <c r="O27" s="2406"/>
      <c r="P27" s="719"/>
    </row>
    <row r="28" spans="2:18" ht="12.95" customHeight="1" thickBot="1" x14ac:dyDescent="0.25">
      <c r="B28" s="2483">
        <v>1</v>
      </c>
      <c r="C28" s="2484"/>
      <c r="D28" s="2484"/>
      <c r="E28" s="2484"/>
      <c r="F28" s="2484"/>
      <c r="G28" s="2484"/>
      <c r="H28" s="2484"/>
      <c r="I28" s="2484"/>
      <c r="J28" s="2484"/>
      <c r="K28" s="2485"/>
      <c r="L28" s="1077">
        <v>2</v>
      </c>
      <c r="M28" s="1077">
        <v>3</v>
      </c>
      <c r="N28" s="1077">
        <v>4</v>
      </c>
      <c r="O28" s="12">
        <v>5</v>
      </c>
      <c r="P28" s="79" t="s">
        <v>24</v>
      </c>
    </row>
    <row r="29" spans="2:18" ht="12.95" customHeight="1" thickTop="1" x14ac:dyDescent="0.2">
      <c r="B29" s="331">
        <v>1</v>
      </c>
      <c r="C29" s="332" t="s">
        <v>440</v>
      </c>
      <c r="D29" s="332" t="s">
        <v>142</v>
      </c>
      <c r="E29" s="333"/>
      <c r="F29" s="1063"/>
      <c r="G29" s="335">
        <v>5</v>
      </c>
      <c r="H29" s="335">
        <v>2</v>
      </c>
      <c r="I29" s="221"/>
      <c r="J29" s="376"/>
      <c r="K29" s="376"/>
      <c r="L29" s="471" t="s">
        <v>108</v>
      </c>
      <c r="M29" s="99"/>
      <c r="N29" s="477"/>
      <c r="O29" s="100"/>
      <c r="P29" s="259">
        <f>P30</f>
        <v>0</v>
      </c>
      <c r="Q29" s="1217">
        <f>L11</f>
        <v>0</v>
      </c>
    </row>
    <row r="30" spans="2:18" ht="26.1" customHeight="1" x14ac:dyDescent="0.2">
      <c r="B30" s="464">
        <v>1</v>
      </c>
      <c r="C30" s="465" t="s">
        <v>440</v>
      </c>
      <c r="D30" s="465" t="s">
        <v>142</v>
      </c>
      <c r="E30" s="357">
        <v>17</v>
      </c>
      <c r="F30" s="461"/>
      <c r="G30" s="462"/>
      <c r="H30" s="462"/>
      <c r="I30" s="462"/>
      <c r="J30" s="463"/>
      <c r="K30" s="463"/>
      <c r="L30" s="472" t="s">
        <v>558</v>
      </c>
      <c r="M30" s="1387"/>
      <c r="N30" s="100"/>
      <c r="O30" s="101"/>
      <c r="P30" s="638">
        <f>P31</f>
        <v>0</v>
      </c>
      <c r="Q30" s="725">
        <f>P30-Q29</f>
        <v>0</v>
      </c>
    </row>
    <row r="31" spans="2:18" ht="26.1" customHeight="1" x14ac:dyDescent="0.2">
      <c r="B31" s="355">
        <v>1</v>
      </c>
      <c r="C31" s="356" t="s">
        <v>440</v>
      </c>
      <c r="D31" s="356" t="s">
        <v>142</v>
      </c>
      <c r="E31" s="461">
        <v>17</v>
      </c>
      <c r="F31" s="474" t="s">
        <v>142</v>
      </c>
      <c r="G31" s="462"/>
      <c r="H31" s="462"/>
      <c r="I31" s="468"/>
      <c r="J31" s="463"/>
      <c r="K31" s="463"/>
      <c r="L31" s="478" t="s">
        <v>559</v>
      </c>
      <c r="M31" s="1387"/>
      <c r="N31" s="100"/>
      <c r="O31" s="101"/>
      <c r="P31" s="638">
        <f>P33+P46</f>
        <v>0</v>
      </c>
      <c r="Q31" s="725"/>
      <c r="R31" s="725"/>
    </row>
    <row r="32" spans="2:18" ht="12.95" customHeight="1" x14ac:dyDescent="0.2">
      <c r="B32" s="80"/>
      <c r="C32" s="33"/>
      <c r="D32" s="33"/>
      <c r="E32" s="60"/>
      <c r="F32" s="33"/>
      <c r="G32" s="46"/>
      <c r="H32" s="46"/>
      <c r="I32" s="1079"/>
      <c r="J32" s="192"/>
      <c r="K32" s="194"/>
      <c r="L32" s="1226"/>
      <c r="M32" s="1387"/>
      <c r="N32" s="100"/>
      <c r="O32" s="101"/>
      <c r="P32" s="259"/>
    </row>
    <row r="33" spans="2:18" ht="12.95" customHeight="1" x14ac:dyDescent="0.2">
      <c r="B33" s="355">
        <v>1</v>
      </c>
      <c r="C33" s="356" t="s">
        <v>440</v>
      </c>
      <c r="D33" s="356" t="s">
        <v>142</v>
      </c>
      <c r="E33" s="461">
        <v>17</v>
      </c>
      <c r="F33" s="474" t="s">
        <v>142</v>
      </c>
      <c r="G33" s="413">
        <v>5</v>
      </c>
      <c r="H33" s="413">
        <v>2</v>
      </c>
      <c r="I33" s="414">
        <v>1</v>
      </c>
      <c r="J33" s="414"/>
      <c r="K33" s="414"/>
      <c r="L33" s="415" t="s">
        <v>86</v>
      </c>
      <c r="M33" s="1391"/>
      <c r="N33" s="1224"/>
      <c r="O33" s="1225"/>
      <c r="P33" s="644">
        <f>P34+P38</f>
        <v>0</v>
      </c>
    </row>
    <row r="34" spans="2:18" s="1229" customFormat="1" ht="12.95" customHeight="1" x14ac:dyDescent="0.2">
      <c r="B34" s="355">
        <v>1</v>
      </c>
      <c r="C34" s="356" t="s">
        <v>440</v>
      </c>
      <c r="D34" s="356" t="s">
        <v>142</v>
      </c>
      <c r="E34" s="461">
        <v>17</v>
      </c>
      <c r="F34" s="474" t="s">
        <v>142</v>
      </c>
      <c r="G34" s="413">
        <v>5</v>
      </c>
      <c r="H34" s="413">
        <v>2</v>
      </c>
      <c r="I34" s="414">
        <v>1</v>
      </c>
      <c r="J34" s="412" t="s">
        <v>142</v>
      </c>
      <c r="K34" s="414"/>
      <c r="L34" s="416" t="s">
        <v>159</v>
      </c>
      <c r="M34" s="1391"/>
      <c r="N34" s="1227"/>
      <c r="O34" s="1228"/>
      <c r="P34" s="644">
        <f>SUM(P35)</f>
        <v>0</v>
      </c>
    </row>
    <row r="35" spans="2:18" s="1229" customFormat="1" ht="12.95" customHeight="1" x14ac:dyDescent="0.2">
      <c r="B35" s="355">
        <v>1</v>
      </c>
      <c r="C35" s="356" t="s">
        <v>440</v>
      </c>
      <c r="D35" s="356" t="s">
        <v>142</v>
      </c>
      <c r="E35" s="461">
        <v>17</v>
      </c>
      <c r="F35" s="474" t="s">
        <v>142</v>
      </c>
      <c r="G35" s="413">
        <v>5</v>
      </c>
      <c r="H35" s="413">
        <v>2</v>
      </c>
      <c r="I35" s="414">
        <v>1</v>
      </c>
      <c r="J35" s="412" t="s">
        <v>142</v>
      </c>
      <c r="K35" s="412" t="s">
        <v>142</v>
      </c>
      <c r="L35" s="417" t="s">
        <v>143</v>
      </c>
      <c r="M35" s="1392"/>
      <c r="N35" s="1230"/>
      <c r="O35" s="1224"/>
      <c r="P35" s="1231">
        <f>SUM(P36)</f>
        <v>0</v>
      </c>
    </row>
    <row r="36" spans="2:18" s="1229" customFormat="1" ht="44.45" customHeight="1" x14ac:dyDescent="0.2">
      <c r="B36" s="411"/>
      <c r="C36" s="412"/>
      <c r="D36" s="412"/>
      <c r="E36" s="418"/>
      <c r="F36" s="412"/>
      <c r="G36" s="414"/>
      <c r="H36" s="414"/>
      <c r="I36" s="419"/>
      <c r="J36" s="420"/>
      <c r="K36" s="412"/>
      <c r="L36" s="1610" t="s">
        <v>921</v>
      </c>
      <c r="M36" s="1392">
        <v>0</v>
      </c>
      <c r="N36" s="1570" t="s">
        <v>138</v>
      </c>
      <c r="O36" s="1571">
        <v>250000</v>
      </c>
      <c r="P36" s="1572">
        <f>O36*M36</f>
        <v>0</v>
      </c>
    </row>
    <row r="37" spans="2:18" s="1106" customFormat="1" ht="12.95" customHeight="1" x14ac:dyDescent="0.2">
      <c r="B37" s="80"/>
      <c r="C37" s="33"/>
      <c r="D37" s="33"/>
      <c r="E37" s="60"/>
      <c r="F37" s="60"/>
      <c r="G37" s="46"/>
      <c r="H37" s="46"/>
      <c r="I37" s="1079"/>
      <c r="J37" s="192"/>
      <c r="K37" s="192"/>
      <c r="L37" s="196"/>
      <c r="M37" s="1395"/>
      <c r="N37" s="262"/>
      <c r="O37" s="184"/>
      <c r="P37" s="259"/>
    </row>
    <row r="38" spans="2:18" ht="12.95" customHeight="1" x14ac:dyDescent="0.2">
      <c r="B38" s="355">
        <v>1</v>
      </c>
      <c r="C38" s="356" t="s">
        <v>440</v>
      </c>
      <c r="D38" s="356" t="s">
        <v>142</v>
      </c>
      <c r="E38" s="461">
        <v>17</v>
      </c>
      <c r="F38" s="474" t="s">
        <v>142</v>
      </c>
      <c r="G38" s="55">
        <v>5</v>
      </c>
      <c r="H38" s="55">
        <v>2</v>
      </c>
      <c r="I38" s="53">
        <v>1</v>
      </c>
      <c r="J38" s="428" t="s">
        <v>145</v>
      </c>
      <c r="K38" s="53"/>
      <c r="L38" s="143" t="s">
        <v>176</v>
      </c>
      <c r="M38" s="1348"/>
      <c r="N38" s="1238"/>
      <c r="O38" s="1239"/>
      <c r="P38" s="269">
        <f>P39</f>
        <v>0</v>
      </c>
    </row>
    <row r="39" spans="2:18" s="1240" customFormat="1" ht="12.95" customHeight="1" x14ac:dyDescent="0.2">
      <c r="B39" s="355">
        <v>1</v>
      </c>
      <c r="C39" s="356" t="s">
        <v>440</v>
      </c>
      <c r="D39" s="356" t="s">
        <v>142</v>
      </c>
      <c r="E39" s="461">
        <v>17</v>
      </c>
      <c r="F39" s="474" t="s">
        <v>142</v>
      </c>
      <c r="G39" s="55">
        <v>5</v>
      </c>
      <c r="H39" s="55">
        <v>2</v>
      </c>
      <c r="I39" s="53">
        <v>1</v>
      </c>
      <c r="J39" s="428" t="s">
        <v>145</v>
      </c>
      <c r="K39" s="428" t="s">
        <v>164</v>
      </c>
      <c r="L39" s="118" t="s">
        <v>284</v>
      </c>
      <c r="M39" s="1396"/>
      <c r="N39" s="265"/>
      <c r="O39" s="266"/>
      <c r="P39" s="267">
        <f>SUM(P40:P44)</f>
        <v>0</v>
      </c>
    </row>
    <row r="40" spans="2:18" s="1240" customFormat="1" ht="12.95" customHeight="1" x14ac:dyDescent="0.2">
      <c r="B40" s="93"/>
      <c r="C40" s="428"/>
      <c r="D40" s="428"/>
      <c r="E40" s="430"/>
      <c r="F40" s="428"/>
      <c r="G40" s="53"/>
      <c r="H40" s="53"/>
      <c r="I40" s="431"/>
      <c r="J40" s="432"/>
      <c r="K40" s="428"/>
      <c r="L40" s="118" t="s">
        <v>291</v>
      </c>
      <c r="M40" s="1396">
        <v>0</v>
      </c>
      <c r="N40" s="265" t="s">
        <v>177</v>
      </c>
      <c r="O40" s="268">
        <v>300000</v>
      </c>
      <c r="P40" s="267">
        <f>O40*M40</f>
        <v>0</v>
      </c>
    </row>
    <row r="41" spans="2:18" s="1240" customFormat="1" ht="12.95" customHeight="1" x14ac:dyDescent="0.2">
      <c r="B41" s="93"/>
      <c r="C41" s="428"/>
      <c r="D41" s="428"/>
      <c r="E41" s="430"/>
      <c r="F41" s="428"/>
      <c r="G41" s="53"/>
      <c r="H41" s="53"/>
      <c r="I41" s="431"/>
      <c r="J41" s="432"/>
      <c r="K41" s="428"/>
      <c r="L41" s="433" t="s">
        <v>292</v>
      </c>
      <c r="M41" s="1396">
        <v>0</v>
      </c>
      <c r="N41" s="265" t="s">
        <v>256</v>
      </c>
      <c r="O41" s="268">
        <v>300000</v>
      </c>
      <c r="P41" s="267">
        <f>O41*M41</f>
        <v>0</v>
      </c>
    </row>
    <row r="42" spans="2:18" s="1240" customFormat="1" ht="12.95" customHeight="1" x14ac:dyDescent="0.2">
      <c r="B42" s="93"/>
      <c r="C42" s="428"/>
      <c r="D42" s="428"/>
      <c r="E42" s="429"/>
      <c r="F42" s="429"/>
      <c r="G42" s="55"/>
      <c r="H42" s="55"/>
      <c r="I42" s="53"/>
      <c r="J42" s="428"/>
      <c r="K42" s="53"/>
      <c r="L42" s="434" t="s">
        <v>293</v>
      </c>
      <c r="M42" s="1396">
        <v>0</v>
      </c>
      <c r="N42" s="265" t="s">
        <v>256</v>
      </c>
      <c r="O42" s="268">
        <v>300000</v>
      </c>
      <c r="P42" s="267">
        <f>O42*M42</f>
        <v>0</v>
      </c>
    </row>
    <row r="43" spans="2:18" s="1240" customFormat="1" ht="12.95" customHeight="1" x14ac:dyDescent="0.2">
      <c r="B43" s="93"/>
      <c r="C43" s="428"/>
      <c r="D43" s="428"/>
      <c r="E43" s="429"/>
      <c r="F43" s="429"/>
      <c r="G43" s="55"/>
      <c r="H43" s="55"/>
      <c r="I43" s="53"/>
      <c r="J43" s="428"/>
      <c r="K43" s="428"/>
      <c r="L43" s="118" t="s">
        <v>294</v>
      </c>
      <c r="M43" s="1396">
        <v>0</v>
      </c>
      <c r="N43" s="265" t="s">
        <v>256</v>
      </c>
      <c r="O43" s="268">
        <v>100000</v>
      </c>
      <c r="P43" s="267">
        <f>O43*M43</f>
        <v>0</v>
      </c>
    </row>
    <row r="44" spans="2:18" s="1240" customFormat="1" ht="12.95" customHeight="1" x14ac:dyDescent="0.2">
      <c r="B44" s="93"/>
      <c r="C44" s="428"/>
      <c r="D44" s="428"/>
      <c r="E44" s="430"/>
      <c r="F44" s="430"/>
      <c r="G44" s="53"/>
      <c r="H44" s="53"/>
      <c r="I44" s="431"/>
      <c r="J44" s="432"/>
      <c r="K44" s="428"/>
      <c r="L44" s="435" t="s">
        <v>789</v>
      </c>
      <c r="M44" s="1396">
        <v>0</v>
      </c>
      <c r="N44" s="265" t="s">
        <v>256</v>
      </c>
      <c r="O44" s="268">
        <v>50000</v>
      </c>
      <c r="P44" s="267">
        <f>O44*M44</f>
        <v>0</v>
      </c>
    </row>
    <row r="45" spans="2:18" s="1240" customFormat="1" ht="12.95" customHeight="1" x14ac:dyDescent="0.2">
      <c r="B45" s="93"/>
      <c r="C45" s="428"/>
      <c r="D45" s="428"/>
      <c r="E45" s="430"/>
      <c r="F45" s="428"/>
      <c r="G45" s="53"/>
      <c r="H45" s="53"/>
      <c r="I45" s="431"/>
      <c r="J45" s="432"/>
      <c r="K45" s="428"/>
      <c r="L45" s="137"/>
      <c r="M45" s="1396"/>
      <c r="N45" s="265"/>
      <c r="O45" s="268"/>
      <c r="P45" s="267"/>
    </row>
    <row r="46" spans="2:18" s="1240" customFormat="1" ht="12.95" customHeight="1" x14ac:dyDescent="0.2">
      <c r="B46" s="355">
        <v>1</v>
      </c>
      <c r="C46" s="356" t="s">
        <v>440</v>
      </c>
      <c r="D46" s="356" t="s">
        <v>142</v>
      </c>
      <c r="E46" s="461">
        <v>17</v>
      </c>
      <c r="F46" s="474" t="s">
        <v>142</v>
      </c>
      <c r="G46" s="55">
        <v>5</v>
      </c>
      <c r="H46" s="55">
        <v>2</v>
      </c>
      <c r="I46" s="53">
        <v>2</v>
      </c>
      <c r="J46" s="53"/>
      <c r="K46" s="53"/>
      <c r="L46" s="138" t="s">
        <v>120</v>
      </c>
      <c r="M46" s="1348"/>
      <c r="N46" s="266"/>
      <c r="O46" s="341"/>
      <c r="P46" s="269">
        <f>P47+P55+P60+P67</f>
        <v>0</v>
      </c>
    </row>
    <row r="47" spans="2:18" s="1240" customFormat="1" ht="12.95" customHeight="1" x14ac:dyDescent="0.2">
      <c r="B47" s="355">
        <v>1</v>
      </c>
      <c r="C47" s="356" t="s">
        <v>440</v>
      </c>
      <c r="D47" s="356" t="s">
        <v>142</v>
      </c>
      <c r="E47" s="461">
        <v>17</v>
      </c>
      <c r="F47" s="474" t="s">
        <v>142</v>
      </c>
      <c r="G47" s="55">
        <v>5</v>
      </c>
      <c r="H47" s="55">
        <v>2</v>
      </c>
      <c r="I47" s="55">
        <v>2</v>
      </c>
      <c r="J47" s="428" t="s">
        <v>142</v>
      </c>
      <c r="K47" s="53"/>
      <c r="L47" s="143" t="s">
        <v>109</v>
      </c>
      <c r="M47" s="1348"/>
      <c r="N47" s="1238"/>
      <c r="O47" s="1239"/>
      <c r="P47" s="269">
        <f>P48</f>
        <v>0</v>
      </c>
    </row>
    <row r="48" spans="2:18" s="1240" customFormat="1" ht="12.95" customHeight="1" x14ac:dyDescent="0.2">
      <c r="B48" s="355">
        <v>1</v>
      </c>
      <c r="C48" s="356" t="s">
        <v>440</v>
      </c>
      <c r="D48" s="356" t="s">
        <v>142</v>
      </c>
      <c r="E48" s="461">
        <v>17</v>
      </c>
      <c r="F48" s="474" t="s">
        <v>142</v>
      </c>
      <c r="G48" s="55">
        <v>5</v>
      </c>
      <c r="H48" s="55">
        <v>2</v>
      </c>
      <c r="I48" s="55">
        <v>2</v>
      </c>
      <c r="J48" s="428" t="s">
        <v>142</v>
      </c>
      <c r="K48" s="428" t="s">
        <v>142</v>
      </c>
      <c r="L48" s="199" t="s">
        <v>127</v>
      </c>
      <c r="M48" s="1348"/>
      <c r="N48" s="266"/>
      <c r="O48" s="341"/>
      <c r="P48" s="267">
        <f>SUM(P49:P53)</f>
        <v>0</v>
      </c>
      <c r="Q48" s="1240">
        <v>9500000</v>
      </c>
      <c r="R48" s="1241">
        <f>Q48-P47</f>
        <v>9500000</v>
      </c>
    </row>
    <row r="49" spans="2:21" s="1240" customFormat="1" ht="12.95" customHeight="1" x14ac:dyDescent="0.2">
      <c r="B49" s="93"/>
      <c r="C49" s="428"/>
      <c r="D49" s="428"/>
      <c r="E49" s="430"/>
      <c r="F49" s="430"/>
      <c r="G49" s="53"/>
      <c r="H49" s="53"/>
      <c r="I49" s="53"/>
      <c r="J49" s="428"/>
      <c r="K49" s="428"/>
      <c r="L49" s="197" t="s">
        <v>660</v>
      </c>
      <c r="M49" s="1397">
        <v>0</v>
      </c>
      <c r="N49" s="265" t="s">
        <v>128</v>
      </c>
      <c r="O49" s="268">
        <v>3130</v>
      </c>
      <c r="P49" s="267">
        <f>O49*M49</f>
        <v>0</v>
      </c>
      <c r="R49" s="1242"/>
      <c r="T49" s="1243"/>
    </row>
    <row r="50" spans="2:21" s="1240" customFormat="1" ht="12.95" customHeight="1" x14ac:dyDescent="0.2">
      <c r="B50" s="93"/>
      <c r="C50" s="428"/>
      <c r="D50" s="428"/>
      <c r="E50" s="430"/>
      <c r="F50" s="430"/>
      <c r="G50" s="53"/>
      <c r="H50" s="53"/>
      <c r="I50" s="53"/>
      <c r="J50" s="428"/>
      <c r="K50" s="428"/>
      <c r="L50" s="197" t="s">
        <v>661</v>
      </c>
      <c r="M50" s="1397">
        <v>0</v>
      </c>
      <c r="N50" s="265" t="s">
        <v>259</v>
      </c>
      <c r="O50" s="268">
        <v>20000</v>
      </c>
      <c r="P50" s="267">
        <f>O50*M50</f>
        <v>0</v>
      </c>
      <c r="Q50" s="1241">
        <f>3722850-P48</f>
        <v>3722850</v>
      </c>
    </row>
    <row r="51" spans="2:21" s="1240" customFormat="1" ht="12.95" customHeight="1" x14ac:dyDescent="0.2">
      <c r="B51" s="93"/>
      <c r="C51" s="428"/>
      <c r="D51" s="428"/>
      <c r="E51" s="430"/>
      <c r="F51" s="430"/>
      <c r="G51" s="53"/>
      <c r="H51" s="53"/>
      <c r="I51" s="53"/>
      <c r="J51" s="428"/>
      <c r="K51" s="428"/>
      <c r="L51" s="197" t="s">
        <v>659</v>
      </c>
      <c r="M51" s="1397">
        <v>0</v>
      </c>
      <c r="N51" s="265" t="s">
        <v>114</v>
      </c>
      <c r="O51" s="268">
        <v>43700</v>
      </c>
      <c r="P51" s="267">
        <f>O51*M51</f>
        <v>0</v>
      </c>
      <c r="Q51" s="1241">
        <f>Q50/10</f>
        <v>372285</v>
      </c>
    </row>
    <row r="52" spans="2:21" s="1240" customFormat="1" ht="12.95" customHeight="1" x14ac:dyDescent="0.2">
      <c r="B52" s="93"/>
      <c r="C52" s="428"/>
      <c r="D52" s="428"/>
      <c r="E52" s="430"/>
      <c r="F52" s="430"/>
      <c r="G52" s="53"/>
      <c r="H52" s="53"/>
      <c r="I52" s="53"/>
      <c r="J52" s="428"/>
      <c r="K52" s="428"/>
      <c r="L52" s="197" t="s">
        <v>663</v>
      </c>
      <c r="M52" s="1397">
        <v>0</v>
      </c>
      <c r="N52" s="265" t="s">
        <v>259</v>
      </c>
      <c r="O52" s="268">
        <v>2500</v>
      </c>
      <c r="P52" s="267">
        <f>O52*M52</f>
        <v>0</v>
      </c>
    </row>
    <row r="53" spans="2:21" s="1240" customFormat="1" ht="12.95" customHeight="1" x14ac:dyDescent="0.2">
      <c r="B53" s="93"/>
      <c r="C53" s="428"/>
      <c r="D53" s="428"/>
      <c r="E53" s="430"/>
      <c r="F53" s="430"/>
      <c r="G53" s="53"/>
      <c r="H53" s="53"/>
      <c r="I53" s="53"/>
      <c r="J53" s="428"/>
      <c r="K53" s="428"/>
      <c r="L53" s="197" t="s">
        <v>664</v>
      </c>
      <c r="M53" s="1397">
        <v>0</v>
      </c>
      <c r="N53" s="265" t="s">
        <v>128</v>
      </c>
      <c r="O53" s="268">
        <v>18850</v>
      </c>
      <c r="P53" s="267">
        <f>O53*M53</f>
        <v>0</v>
      </c>
    </row>
    <row r="54" spans="2:21" s="1240" customFormat="1" ht="12.95" customHeight="1" x14ac:dyDescent="0.2">
      <c r="B54" s="80"/>
      <c r="C54" s="33"/>
      <c r="D54" s="33"/>
      <c r="E54" s="67"/>
      <c r="F54" s="33"/>
      <c r="G54" s="1079"/>
      <c r="H54" s="1079"/>
      <c r="I54" s="1079"/>
      <c r="J54" s="1079"/>
      <c r="K54" s="33"/>
      <c r="L54" s="117"/>
      <c r="M54" s="1398"/>
      <c r="N54" s="185"/>
      <c r="O54" s="270"/>
      <c r="P54" s="260"/>
    </row>
    <row r="55" spans="2:21" ht="12.95" customHeight="1" x14ac:dyDescent="0.2">
      <c r="B55" s="355">
        <v>1</v>
      </c>
      <c r="C55" s="356" t="s">
        <v>440</v>
      </c>
      <c r="D55" s="356" t="s">
        <v>142</v>
      </c>
      <c r="E55" s="461">
        <v>17</v>
      </c>
      <c r="F55" s="474" t="s">
        <v>142</v>
      </c>
      <c r="G55" s="46">
        <v>5</v>
      </c>
      <c r="H55" s="46">
        <v>2</v>
      </c>
      <c r="I55" s="46">
        <v>2</v>
      </c>
      <c r="J55" s="33" t="s">
        <v>164</v>
      </c>
      <c r="K55" s="1079"/>
      <c r="L55" s="143" t="s">
        <v>112</v>
      </c>
      <c r="M55" s="1348"/>
      <c r="N55" s="1238"/>
      <c r="O55" s="1239"/>
      <c r="P55" s="269">
        <f>P56</f>
        <v>0</v>
      </c>
    </row>
    <row r="56" spans="2:21" ht="12.95" customHeight="1" x14ac:dyDescent="0.2">
      <c r="B56" s="355">
        <v>1</v>
      </c>
      <c r="C56" s="356" t="s">
        <v>440</v>
      </c>
      <c r="D56" s="356" t="s">
        <v>142</v>
      </c>
      <c r="E56" s="461">
        <v>17</v>
      </c>
      <c r="F56" s="474" t="s">
        <v>142</v>
      </c>
      <c r="G56" s="46">
        <v>5</v>
      </c>
      <c r="H56" s="46">
        <v>2</v>
      </c>
      <c r="I56" s="46">
        <v>2</v>
      </c>
      <c r="J56" s="33" t="s">
        <v>164</v>
      </c>
      <c r="K56" s="33">
        <v>27</v>
      </c>
      <c r="L56" s="295" t="s">
        <v>427</v>
      </c>
      <c r="M56" s="1398"/>
      <c r="N56" s="262"/>
      <c r="O56" s="868"/>
      <c r="P56" s="260">
        <f>SUM(P57:P58)</f>
        <v>0</v>
      </c>
    </row>
    <row r="57" spans="2:21" ht="12.95" customHeight="1" x14ac:dyDescent="0.2">
      <c r="B57" s="80"/>
      <c r="C57" s="33"/>
      <c r="D57" s="33"/>
      <c r="E57" s="67"/>
      <c r="F57" s="33"/>
      <c r="G57" s="1079"/>
      <c r="H57" s="1079"/>
      <c r="I57" s="1079"/>
      <c r="J57" s="1079"/>
      <c r="K57" s="33"/>
      <c r="L57" s="137" t="s">
        <v>658</v>
      </c>
      <c r="M57" s="1396">
        <v>0</v>
      </c>
      <c r="N57" s="265" t="s">
        <v>790</v>
      </c>
      <c r="O57" s="268">
        <v>300000</v>
      </c>
      <c r="P57" s="267">
        <f>O57*M57</f>
        <v>0</v>
      </c>
    </row>
    <row r="58" spans="2:21" ht="12.95" customHeight="1" x14ac:dyDescent="0.2">
      <c r="B58" s="80"/>
      <c r="C58" s="33"/>
      <c r="D58" s="33"/>
      <c r="E58" s="67"/>
      <c r="F58" s="33"/>
      <c r="G58" s="1079"/>
      <c r="H58" s="1079"/>
      <c r="I58" s="1079"/>
      <c r="J58" s="1079"/>
      <c r="K58" s="33"/>
      <c r="L58" s="137" t="s">
        <v>791</v>
      </c>
      <c r="M58" s="1396">
        <v>0</v>
      </c>
      <c r="N58" s="265" t="s">
        <v>575</v>
      </c>
      <c r="O58" s="268">
        <v>35000</v>
      </c>
      <c r="P58" s="267">
        <f>O58*M58</f>
        <v>0</v>
      </c>
    </row>
    <row r="59" spans="2:21" ht="12.95" customHeight="1" x14ac:dyDescent="0.2">
      <c r="B59" s="80"/>
      <c r="C59" s="33"/>
      <c r="D59" s="33"/>
      <c r="E59" s="67"/>
      <c r="F59" s="33"/>
      <c r="G59" s="1079"/>
      <c r="H59" s="1079"/>
      <c r="I59" s="1079"/>
      <c r="J59" s="1079"/>
      <c r="K59" s="33"/>
      <c r="L59" s="182"/>
      <c r="M59" s="1398"/>
      <c r="N59" s="262"/>
      <c r="O59" s="868"/>
      <c r="P59" s="260"/>
    </row>
    <row r="60" spans="2:21" ht="12.95" customHeight="1" x14ac:dyDescent="0.2">
      <c r="B60" s="355">
        <v>1</v>
      </c>
      <c r="C60" s="356" t="s">
        <v>440</v>
      </c>
      <c r="D60" s="356" t="s">
        <v>142</v>
      </c>
      <c r="E60" s="461">
        <v>17</v>
      </c>
      <c r="F60" s="474" t="s">
        <v>142</v>
      </c>
      <c r="G60" s="46">
        <v>5</v>
      </c>
      <c r="H60" s="46">
        <v>2</v>
      </c>
      <c r="I60" s="46">
        <v>2</v>
      </c>
      <c r="J60" s="33" t="s">
        <v>144</v>
      </c>
      <c r="K60" s="1079"/>
      <c r="L60" s="143" t="s">
        <v>115</v>
      </c>
      <c r="M60" s="1348"/>
      <c r="N60" s="1238"/>
      <c r="O60" s="1239"/>
      <c r="P60" s="269">
        <f>SUM(P61+P64)</f>
        <v>0</v>
      </c>
    </row>
    <row r="61" spans="2:21" ht="12.95" customHeight="1" x14ac:dyDescent="0.2">
      <c r="B61" s="355">
        <v>1</v>
      </c>
      <c r="C61" s="356" t="s">
        <v>440</v>
      </c>
      <c r="D61" s="356" t="s">
        <v>142</v>
      </c>
      <c r="E61" s="461">
        <v>17</v>
      </c>
      <c r="F61" s="474" t="s">
        <v>142</v>
      </c>
      <c r="G61" s="46">
        <v>5</v>
      </c>
      <c r="H61" s="46">
        <v>2</v>
      </c>
      <c r="I61" s="46">
        <v>2</v>
      </c>
      <c r="J61" s="33" t="s">
        <v>144</v>
      </c>
      <c r="K61" s="33" t="s">
        <v>142</v>
      </c>
      <c r="L61" s="199" t="s">
        <v>588</v>
      </c>
      <c r="M61" s="1348"/>
      <c r="N61" s="266"/>
      <c r="O61" s="341"/>
      <c r="P61" s="267">
        <f>SUM(P62:P63)</f>
        <v>0</v>
      </c>
    </row>
    <row r="62" spans="2:21" ht="12.95" customHeight="1" x14ac:dyDescent="0.2">
      <c r="B62" s="84"/>
      <c r="C62" s="39"/>
      <c r="D62" s="39"/>
      <c r="E62" s="39"/>
      <c r="F62" s="39"/>
      <c r="G62" s="39"/>
      <c r="H62" s="46"/>
      <c r="I62" s="59"/>
      <c r="J62" s="149"/>
      <c r="K62" s="69"/>
      <c r="L62" s="197" t="s">
        <v>428</v>
      </c>
      <c r="M62" s="1348">
        <v>0</v>
      </c>
      <c r="N62" s="265" t="s">
        <v>429</v>
      </c>
      <c r="O62" s="1244">
        <v>12500</v>
      </c>
      <c r="P62" s="260">
        <f>O62*M62</f>
        <v>0</v>
      </c>
      <c r="R62" s="715">
        <v>45</v>
      </c>
    </row>
    <row r="63" spans="2:21" ht="12.95" customHeight="1" x14ac:dyDescent="0.2">
      <c r="B63" s="84"/>
      <c r="C63" s="39"/>
      <c r="D63" s="39"/>
      <c r="E63" s="39"/>
      <c r="F63" s="39"/>
      <c r="G63" s="39"/>
      <c r="H63" s="46"/>
      <c r="I63" s="59"/>
      <c r="J63" s="149"/>
      <c r="K63" s="69"/>
      <c r="L63" s="38" t="s">
        <v>792</v>
      </c>
      <c r="M63" s="1399">
        <v>0</v>
      </c>
      <c r="N63" s="821" t="s">
        <v>553</v>
      </c>
      <c r="O63" s="822">
        <v>60000</v>
      </c>
      <c r="P63" s="260">
        <f>O63*M63</f>
        <v>0</v>
      </c>
    </row>
    <row r="64" spans="2:21" ht="12.95" customHeight="1" x14ac:dyDescent="0.2">
      <c r="B64" s="355">
        <v>1</v>
      </c>
      <c r="C64" s="356" t="s">
        <v>440</v>
      </c>
      <c r="D64" s="356" t="s">
        <v>142</v>
      </c>
      <c r="E64" s="461">
        <v>17</v>
      </c>
      <c r="F64" s="474" t="s">
        <v>142</v>
      </c>
      <c r="G64" s="46">
        <v>5</v>
      </c>
      <c r="H64" s="46">
        <v>2</v>
      </c>
      <c r="I64" s="46">
        <v>2</v>
      </c>
      <c r="J64" s="33" t="s">
        <v>144</v>
      </c>
      <c r="K64" s="33" t="s">
        <v>145</v>
      </c>
      <c r="L64" s="199" t="s">
        <v>121</v>
      </c>
      <c r="M64" s="1348"/>
      <c r="N64" s="266"/>
      <c r="O64" s="341"/>
      <c r="P64" s="267">
        <f>SUM(P65:P65)</f>
        <v>0</v>
      </c>
      <c r="R64" s="715">
        <v>7</v>
      </c>
      <c r="U64" s="725"/>
    </row>
    <row r="65" spans="2:21" ht="12.95" customHeight="1" x14ac:dyDescent="0.2">
      <c r="B65" s="80"/>
      <c r="C65" s="33"/>
      <c r="D65" s="33"/>
      <c r="E65" s="67"/>
      <c r="F65" s="33"/>
      <c r="G65" s="1079"/>
      <c r="H65" s="1079"/>
      <c r="I65" s="1079"/>
      <c r="J65" s="1079"/>
      <c r="K65" s="33"/>
      <c r="L65" s="37" t="s">
        <v>646</v>
      </c>
      <c r="M65" s="1398">
        <v>0</v>
      </c>
      <c r="N65" s="185" t="s">
        <v>113</v>
      </c>
      <c r="O65" s="270">
        <v>350</v>
      </c>
      <c r="P65" s="260">
        <f>O65*M65</f>
        <v>0</v>
      </c>
      <c r="U65" s="725"/>
    </row>
    <row r="66" spans="2:21" ht="12.95" customHeight="1" x14ac:dyDescent="0.2">
      <c r="B66" s="80"/>
      <c r="C66" s="33"/>
      <c r="D66" s="33"/>
      <c r="E66" s="67"/>
      <c r="F66" s="33"/>
      <c r="G66" s="1079"/>
      <c r="H66" s="1079"/>
      <c r="I66" s="1079"/>
      <c r="J66" s="1079"/>
      <c r="K66" s="33"/>
      <c r="L66" s="200"/>
      <c r="M66" s="1398"/>
      <c r="N66" s="185"/>
      <c r="O66" s="270"/>
      <c r="P66" s="260"/>
      <c r="R66" s="1245">
        <v>2</v>
      </c>
      <c r="S66" s="1246"/>
      <c r="T66" s="1246"/>
      <c r="U66" s="1247"/>
    </row>
    <row r="67" spans="2:21" ht="12.95" customHeight="1" x14ac:dyDescent="0.2">
      <c r="B67" s="355">
        <v>1</v>
      </c>
      <c r="C67" s="356" t="s">
        <v>440</v>
      </c>
      <c r="D67" s="356" t="s">
        <v>142</v>
      </c>
      <c r="E67" s="461">
        <v>17</v>
      </c>
      <c r="F67" s="474" t="s">
        <v>142</v>
      </c>
      <c r="G67" s="46">
        <v>5</v>
      </c>
      <c r="H67" s="46">
        <v>2</v>
      </c>
      <c r="I67" s="46">
        <v>2</v>
      </c>
      <c r="J67" s="33">
        <v>11</v>
      </c>
      <c r="K67" s="1079"/>
      <c r="L67" s="143" t="s">
        <v>295</v>
      </c>
      <c r="M67" s="1348"/>
      <c r="N67" s="1238"/>
      <c r="O67" s="1239"/>
      <c r="P67" s="269">
        <f>P68</f>
        <v>0</v>
      </c>
      <c r="R67" s="1246">
        <f>SUM(R62:R66)</f>
        <v>54</v>
      </c>
      <c r="S67" s="1246">
        <f>R67*2</f>
        <v>108</v>
      </c>
      <c r="T67" s="1246"/>
      <c r="U67" s="1247"/>
    </row>
    <row r="68" spans="2:21" ht="12.95" customHeight="1" x14ac:dyDescent="0.2">
      <c r="B68" s="355">
        <v>1</v>
      </c>
      <c r="C68" s="356" t="s">
        <v>440</v>
      </c>
      <c r="D68" s="356" t="s">
        <v>142</v>
      </c>
      <c r="E68" s="461">
        <v>17</v>
      </c>
      <c r="F68" s="474" t="s">
        <v>142</v>
      </c>
      <c r="G68" s="46">
        <v>5</v>
      </c>
      <c r="H68" s="46">
        <v>2</v>
      </c>
      <c r="I68" s="46">
        <v>2</v>
      </c>
      <c r="J68" s="33">
        <v>11</v>
      </c>
      <c r="K68" s="33" t="s">
        <v>168</v>
      </c>
      <c r="L68" s="199" t="s">
        <v>296</v>
      </c>
      <c r="M68" s="1348"/>
      <c r="N68" s="266"/>
      <c r="O68" s="341"/>
      <c r="P68" s="267">
        <f>SUM(P69:P70)</f>
        <v>0</v>
      </c>
      <c r="R68" s="1246"/>
      <c r="S68" s="1246"/>
      <c r="T68" s="1246"/>
      <c r="U68" s="1247"/>
    </row>
    <row r="69" spans="2:21" ht="12.95" customHeight="1" x14ac:dyDescent="0.2">
      <c r="B69" s="80"/>
      <c r="C69" s="33"/>
      <c r="D69" s="33"/>
      <c r="E69" s="67"/>
      <c r="F69" s="67"/>
      <c r="G69" s="1079"/>
      <c r="H69" s="1079"/>
      <c r="I69" s="1079"/>
      <c r="J69" s="33"/>
      <c r="K69" s="33"/>
      <c r="L69" s="37" t="s">
        <v>793</v>
      </c>
      <c r="M69" s="1398">
        <v>0</v>
      </c>
      <c r="N69" s="185" t="s">
        <v>259</v>
      </c>
      <c r="O69" s="270">
        <v>15000</v>
      </c>
      <c r="P69" s="260">
        <f>O69*M69</f>
        <v>0</v>
      </c>
      <c r="R69" s="1246"/>
      <c r="S69" s="1246"/>
      <c r="T69" s="1246"/>
      <c r="U69" s="1247"/>
    </row>
    <row r="70" spans="2:21" ht="12.95" customHeight="1" x14ac:dyDescent="0.2">
      <c r="B70" s="421"/>
      <c r="C70" s="422"/>
      <c r="D70" s="422"/>
      <c r="E70" s="426"/>
      <c r="F70" s="422"/>
      <c r="G70" s="423"/>
      <c r="H70" s="423"/>
      <c r="I70" s="423"/>
      <c r="J70" s="423"/>
      <c r="K70" s="422"/>
      <c r="L70" s="632" t="s">
        <v>794</v>
      </c>
      <c r="M70" s="1400">
        <v>0</v>
      </c>
      <c r="N70" s="1143" t="s">
        <v>259</v>
      </c>
      <c r="O70" s="1248">
        <v>7500</v>
      </c>
      <c r="P70" s="1249">
        <f>O70*M70</f>
        <v>0</v>
      </c>
      <c r="R70" s="1246"/>
      <c r="S70" s="1246"/>
      <c r="T70" s="1246"/>
      <c r="U70" s="1247"/>
    </row>
    <row r="71" spans="2:21" ht="12.95" customHeight="1" thickBot="1" x14ac:dyDescent="0.25">
      <c r="B71" s="84"/>
      <c r="C71" s="39"/>
      <c r="D71" s="39"/>
      <c r="E71" s="39"/>
      <c r="F71" s="39"/>
      <c r="G71" s="39"/>
      <c r="H71" s="373"/>
      <c r="I71" s="102"/>
      <c r="J71" s="141"/>
      <c r="K71" s="69"/>
      <c r="L71" s="650"/>
      <c r="M71" s="1348"/>
      <c r="N71" s="265"/>
      <c r="O71" s="1244"/>
      <c r="P71" s="1401"/>
      <c r="R71" s="1246"/>
      <c r="S71" s="1246"/>
      <c r="T71" s="1246"/>
      <c r="U71" s="1247"/>
    </row>
    <row r="72" spans="2:21" ht="12.95" customHeight="1" thickBot="1" x14ac:dyDescent="0.25">
      <c r="B72" s="110"/>
      <c r="C72" s="107"/>
      <c r="D72" s="107"/>
      <c r="E72" s="107"/>
      <c r="F72" s="107"/>
      <c r="G72" s="107"/>
      <c r="H72" s="107"/>
      <c r="I72" s="107"/>
      <c r="J72" s="107"/>
      <c r="K72" s="107"/>
      <c r="L72" s="107"/>
      <c r="M72" s="2620" t="s">
        <v>199</v>
      </c>
      <c r="N72" s="2620"/>
      <c r="O72" s="2621"/>
      <c r="P72" s="1351">
        <f>P30</f>
        <v>0</v>
      </c>
      <c r="Q72" s="908"/>
      <c r="R72" s="1246"/>
      <c r="S72" s="1246"/>
      <c r="T72" s="1246"/>
      <c r="U72" s="1247"/>
    </row>
    <row r="73" spans="2:21" ht="12.95" customHeight="1" x14ac:dyDescent="0.2">
      <c r="B73" s="1209"/>
      <c r="C73" s="1183"/>
      <c r="D73" s="1183"/>
      <c r="E73" s="1183"/>
      <c r="F73" s="1183"/>
      <c r="G73" s="1183"/>
      <c r="H73" s="1183"/>
      <c r="I73" s="1183"/>
      <c r="J73" s="1183"/>
      <c r="K73" s="1183"/>
      <c r="L73" s="1183"/>
      <c r="M73" s="520"/>
      <c r="N73" s="520"/>
      <c r="O73" s="520"/>
      <c r="P73" s="1251"/>
      <c r="Q73" s="908"/>
      <c r="R73" s="1246"/>
      <c r="S73" s="1246"/>
      <c r="T73" s="1246"/>
      <c r="U73" s="1247"/>
    </row>
    <row r="74" spans="2:21" ht="12.95" customHeight="1" x14ac:dyDescent="0.2">
      <c r="B74" s="170"/>
      <c r="C74" s="131"/>
      <c r="D74" s="131"/>
      <c r="E74" s="131"/>
      <c r="F74" s="131"/>
      <c r="G74" s="131"/>
      <c r="H74" s="131"/>
      <c r="I74" s="131"/>
      <c r="J74" s="131"/>
      <c r="K74" s="131"/>
      <c r="L74" s="144"/>
      <c r="M74" s="2506" t="str">
        <f>'RECAP APBD'!E43</f>
        <v>Banda Aceh,                   2020</v>
      </c>
      <c r="N74" s="2506"/>
      <c r="O74" s="2506"/>
      <c r="P74" s="2507"/>
      <c r="R74" s="1252"/>
      <c r="T74" s="721"/>
    </row>
    <row r="75" spans="2:21" ht="12.95" customHeight="1" x14ac:dyDescent="0.2">
      <c r="B75" s="170"/>
      <c r="C75" s="131"/>
      <c r="D75" s="131"/>
      <c r="E75" s="131"/>
      <c r="F75" s="131"/>
      <c r="G75" s="131"/>
      <c r="H75" s="131"/>
      <c r="I75" s="131"/>
      <c r="J75" s="131"/>
      <c r="K75" s="131"/>
      <c r="L75" s="131"/>
      <c r="M75" s="2449" t="str">
        <f>'RECAP APBD'!E44</f>
        <v>Pengguna Anggaran</v>
      </c>
      <c r="N75" s="2449"/>
      <c r="O75" s="2449"/>
      <c r="P75" s="2600"/>
      <c r="R75" s="1253"/>
    </row>
    <row r="76" spans="2:21" ht="12.95" customHeight="1" x14ac:dyDescent="0.2">
      <c r="B76" s="170"/>
      <c r="C76" s="131"/>
      <c r="D76" s="131"/>
      <c r="E76" s="131"/>
      <c r="F76" s="131"/>
      <c r="G76" s="131"/>
      <c r="H76" s="131"/>
      <c r="I76" s="131"/>
      <c r="J76" s="131"/>
      <c r="K76" s="131"/>
      <c r="L76" s="131"/>
      <c r="M76" s="2449" t="str">
        <f>'RECAP APBD'!E45</f>
        <v>Satuan Kerja Perangkat Daerah</v>
      </c>
      <c r="N76" s="2449"/>
      <c r="O76" s="2449"/>
      <c r="P76" s="2600"/>
    </row>
    <row r="77" spans="2:21" ht="12.95" customHeight="1" x14ac:dyDescent="0.2">
      <c r="B77" s="170"/>
      <c r="C77" s="131"/>
      <c r="D77" s="131"/>
      <c r="E77" s="131"/>
      <c r="F77" s="131"/>
      <c r="G77" s="131"/>
      <c r="H77" s="131"/>
      <c r="I77" s="131"/>
      <c r="J77" s="131"/>
      <c r="K77" s="131"/>
      <c r="L77" s="1058"/>
      <c r="M77" s="1094"/>
      <c r="N77" s="2759"/>
      <c r="O77" s="2759"/>
      <c r="P77" s="2760"/>
    </row>
    <row r="78" spans="2:21" ht="12.95" customHeight="1" x14ac:dyDescent="0.2">
      <c r="B78" s="170"/>
      <c r="C78" s="131"/>
      <c r="D78" s="131"/>
      <c r="E78" s="131"/>
      <c r="F78" s="131"/>
      <c r="G78" s="131"/>
      <c r="H78" s="131"/>
      <c r="I78" s="131"/>
      <c r="J78" s="131"/>
      <c r="K78" s="131"/>
      <c r="L78" s="1221"/>
      <c r="M78" s="1094"/>
      <c r="N78" s="2759"/>
      <c r="O78" s="2759"/>
      <c r="P78" s="2760"/>
    </row>
    <row r="79" spans="2:21" ht="12.95" customHeight="1" x14ac:dyDescent="0.2">
      <c r="B79" s="170"/>
      <c r="C79" s="131"/>
      <c r="D79" s="131"/>
      <c r="E79" s="131"/>
      <c r="F79" s="131"/>
      <c r="G79" s="131"/>
      <c r="H79" s="131"/>
      <c r="I79" s="131"/>
      <c r="J79" s="131"/>
      <c r="K79" s="131"/>
      <c r="L79" s="22"/>
      <c r="M79" s="2199" t="str">
        <f>'E-GOV APLIKASI'!M153:P153</f>
        <v>Bustami, SH</v>
      </c>
      <c r="N79" s="2199"/>
      <c r="O79" s="2199"/>
      <c r="P79" s="2200"/>
      <c r="Q79" s="1254"/>
    </row>
    <row r="80" spans="2:21" ht="12.95" customHeight="1" thickBot="1" x14ac:dyDescent="0.25">
      <c r="B80" s="1402"/>
      <c r="C80" s="146"/>
      <c r="D80" s="146"/>
      <c r="E80" s="146"/>
      <c r="F80" s="146"/>
      <c r="G80" s="146"/>
      <c r="H80" s="146"/>
      <c r="I80" s="146"/>
      <c r="J80" s="146"/>
      <c r="K80" s="146"/>
      <c r="L80" s="146"/>
      <c r="M80" s="2683" t="str">
        <f>'RECAP APBD'!E49</f>
        <v>Pembina Utama Muda / Nip. 19630824 198703 1 004</v>
      </c>
      <c r="N80" s="2683"/>
      <c r="O80" s="2683"/>
      <c r="P80" s="2696"/>
      <c r="Q80" s="133"/>
    </row>
    <row r="81" spans="2:20" ht="12.95" customHeight="1" thickTop="1" x14ac:dyDescent="0.2">
      <c r="B81" s="2501" t="s">
        <v>140</v>
      </c>
      <c r="C81" s="2502"/>
      <c r="D81" s="2502"/>
      <c r="E81" s="2502"/>
      <c r="F81" s="2502"/>
      <c r="G81" s="2502"/>
      <c r="H81" s="2502"/>
      <c r="I81" s="2502"/>
      <c r="J81" s="2502"/>
      <c r="K81" s="2502"/>
      <c r="L81" s="2502"/>
      <c r="M81" s="2513"/>
      <c r="N81" s="2513"/>
      <c r="O81" s="2513"/>
      <c r="P81" s="2514"/>
      <c r="Q81" s="170"/>
      <c r="S81" s="1240"/>
    </row>
    <row r="82" spans="2:20" ht="12.95" customHeight="1" x14ac:dyDescent="0.2">
      <c r="B82" s="2501" t="s">
        <v>22</v>
      </c>
      <c r="C82" s="2502"/>
      <c r="D82" s="2502"/>
      <c r="E82" s="2502"/>
      <c r="F82" s="2502"/>
      <c r="G82" s="2502"/>
      <c r="H82" s="2502"/>
      <c r="I82" s="2502"/>
      <c r="J82" s="2502"/>
      <c r="K82" s="2502"/>
      <c r="L82" s="2502"/>
      <c r="M82" s="251"/>
      <c r="N82" s="2508"/>
      <c r="O82" s="2508"/>
      <c r="P82" s="2509"/>
    </row>
    <row r="83" spans="2:20" ht="12.95" customHeight="1" x14ac:dyDescent="0.2">
      <c r="B83" s="2501" t="s">
        <v>21</v>
      </c>
      <c r="C83" s="2502"/>
      <c r="D83" s="2502"/>
      <c r="E83" s="2502"/>
      <c r="F83" s="2502"/>
      <c r="G83" s="2502"/>
      <c r="H83" s="2502"/>
      <c r="I83" s="2502"/>
      <c r="J83" s="2502"/>
      <c r="K83" s="2502"/>
      <c r="L83" s="2502"/>
      <c r="M83" s="251"/>
      <c r="N83" s="2503"/>
      <c r="O83" s="2503"/>
      <c r="P83" s="2504"/>
    </row>
    <row r="84" spans="2:20" ht="12.95" customHeight="1" x14ac:dyDescent="0.2">
      <c r="B84" s="2501" t="s">
        <v>204</v>
      </c>
      <c r="C84" s="2502"/>
      <c r="D84" s="2502"/>
      <c r="E84" s="2502"/>
      <c r="F84" s="2502"/>
      <c r="G84" s="2502"/>
      <c r="H84" s="2502"/>
      <c r="I84" s="2502"/>
      <c r="J84" s="2502"/>
      <c r="K84" s="2502"/>
      <c r="L84" s="2502"/>
      <c r="M84" s="2502"/>
      <c r="N84" s="2502"/>
      <c r="O84" s="2502"/>
      <c r="P84" s="2505"/>
    </row>
    <row r="85" spans="2:20" ht="12.95" customHeight="1" x14ac:dyDescent="0.2">
      <c r="B85" s="2501" t="s">
        <v>205</v>
      </c>
      <c r="C85" s="2502"/>
      <c r="D85" s="2502"/>
      <c r="E85" s="2502"/>
      <c r="F85" s="2502"/>
      <c r="G85" s="2502"/>
      <c r="H85" s="2502"/>
      <c r="I85" s="2502"/>
      <c r="J85" s="2502"/>
      <c r="K85" s="2502"/>
      <c r="L85" s="2502"/>
      <c r="M85" s="2502"/>
      <c r="N85" s="2502"/>
      <c r="O85" s="2502"/>
      <c r="P85" s="2505"/>
    </row>
    <row r="86" spans="2:20" ht="12.95" customHeight="1" thickBot="1" x14ac:dyDescent="0.25">
      <c r="B86" s="2517" t="s">
        <v>206</v>
      </c>
      <c r="C86" s="2518"/>
      <c r="D86" s="2518"/>
      <c r="E86" s="2518"/>
      <c r="F86" s="2518"/>
      <c r="G86" s="2518"/>
      <c r="H86" s="2518"/>
      <c r="I86" s="2518"/>
      <c r="J86" s="2518"/>
      <c r="K86" s="2518"/>
      <c r="L86" s="2518"/>
      <c r="M86" s="2518"/>
      <c r="N86" s="2518"/>
      <c r="O86" s="2518"/>
      <c r="P86" s="2519"/>
    </row>
    <row r="87" spans="2:20" ht="12.95" customHeight="1" thickTop="1" x14ac:dyDescent="0.2">
      <c r="B87" s="2523" t="s">
        <v>25</v>
      </c>
      <c r="C87" s="2524"/>
      <c r="D87" s="2524"/>
      <c r="E87" s="2524"/>
      <c r="F87" s="2524"/>
      <c r="G87" s="2524"/>
      <c r="H87" s="2524"/>
      <c r="I87" s="2524"/>
      <c r="J87" s="2524"/>
      <c r="K87" s="2524"/>
      <c r="L87" s="2524"/>
      <c r="M87" s="2524"/>
      <c r="N87" s="2524"/>
      <c r="O87" s="2524"/>
      <c r="P87" s="2525"/>
    </row>
    <row r="88" spans="2:20" ht="12.95" customHeight="1" thickBot="1" x14ac:dyDescent="0.25">
      <c r="B88" s="2526" t="s">
        <v>207</v>
      </c>
      <c r="C88" s="2527"/>
      <c r="D88" s="2528" t="s">
        <v>208</v>
      </c>
      <c r="E88" s="2529"/>
      <c r="F88" s="2529"/>
      <c r="G88" s="2529"/>
      <c r="H88" s="2529"/>
      <c r="I88" s="2529"/>
      <c r="J88" s="2529"/>
      <c r="K88" s="2529"/>
      <c r="L88" s="2530"/>
      <c r="M88" s="2531" t="s">
        <v>209</v>
      </c>
      <c r="N88" s="2530"/>
      <c r="O88" s="4" t="s">
        <v>210</v>
      </c>
      <c r="P88" s="92" t="s">
        <v>211</v>
      </c>
    </row>
    <row r="89" spans="2:20" ht="12.95" customHeight="1" thickTop="1" x14ac:dyDescent="0.2">
      <c r="B89" s="2535">
        <v>1</v>
      </c>
      <c r="C89" s="2536"/>
      <c r="D89" s="2532"/>
      <c r="E89" s="2533"/>
      <c r="F89" s="2533"/>
      <c r="G89" s="2533"/>
      <c r="H89" s="2533"/>
      <c r="I89" s="2533"/>
      <c r="J89" s="2533"/>
      <c r="K89" s="2533"/>
      <c r="L89" s="2534"/>
      <c r="M89" s="2538"/>
      <c r="N89" s="2539"/>
      <c r="O89" s="1073"/>
      <c r="P89" s="1177" t="s">
        <v>10</v>
      </c>
    </row>
    <row r="90" spans="2:20" ht="12.95" customHeight="1" x14ac:dyDescent="0.2">
      <c r="B90" s="2522">
        <v>2</v>
      </c>
      <c r="C90" s="2240"/>
      <c r="D90" s="1116"/>
      <c r="E90" s="1117"/>
      <c r="F90" s="1117"/>
      <c r="G90" s="1117"/>
      <c r="H90" s="1117"/>
      <c r="I90" s="1117"/>
      <c r="J90" s="1117"/>
      <c r="K90" s="1117"/>
      <c r="L90" s="1118"/>
      <c r="M90" s="2442"/>
      <c r="N90" s="2247"/>
      <c r="O90" s="1085"/>
      <c r="P90" s="1177" t="s">
        <v>11</v>
      </c>
      <c r="Q90" s="1255"/>
      <c r="R90" s="1256"/>
      <c r="S90" s="1071"/>
      <c r="T90" s="1257"/>
    </row>
    <row r="91" spans="2:20" ht="12.95" customHeight="1" x14ac:dyDescent="0.2">
      <c r="B91" s="2522">
        <v>3</v>
      </c>
      <c r="C91" s="2240"/>
      <c r="D91" s="1116"/>
      <c r="E91" s="1117"/>
      <c r="F91" s="1117"/>
      <c r="G91" s="1117"/>
      <c r="H91" s="1117"/>
      <c r="I91" s="1117"/>
      <c r="J91" s="1117"/>
      <c r="K91" s="1117"/>
      <c r="L91" s="1118"/>
      <c r="M91" s="2442"/>
      <c r="N91" s="2247"/>
      <c r="O91" s="1085"/>
      <c r="P91" s="1177" t="s">
        <v>12</v>
      </c>
      <c r="Q91" s="1255"/>
      <c r="R91" s="1256"/>
      <c r="S91" s="1058"/>
      <c r="T91" s="1257"/>
    </row>
    <row r="92" spans="2:20" ht="12.95" customHeight="1" x14ac:dyDescent="0.2">
      <c r="B92" s="2522">
        <v>4</v>
      </c>
      <c r="C92" s="2240"/>
      <c r="D92" s="1116"/>
      <c r="E92" s="1117"/>
      <c r="F92" s="1117"/>
      <c r="G92" s="1117"/>
      <c r="H92" s="1117"/>
      <c r="I92" s="1117"/>
      <c r="J92" s="1117"/>
      <c r="K92" s="1117"/>
      <c r="L92" s="1118"/>
      <c r="M92" s="2443"/>
      <c r="N92" s="2253"/>
      <c r="O92" s="1085"/>
      <c r="P92" s="1177" t="s">
        <v>13</v>
      </c>
      <c r="Q92" s="1255"/>
      <c r="R92" s="1256"/>
      <c r="S92" s="1058"/>
      <c r="T92" s="1257"/>
    </row>
    <row r="93" spans="2:20" ht="12.95" customHeight="1" x14ac:dyDescent="0.2">
      <c r="B93" s="2522">
        <v>5</v>
      </c>
      <c r="C93" s="2240"/>
      <c r="D93" s="1116"/>
      <c r="E93" s="1117"/>
      <c r="F93" s="1117"/>
      <c r="G93" s="1117"/>
      <c r="H93" s="1117"/>
      <c r="I93" s="1117"/>
      <c r="J93" s="1117"/>
      <c r="K93" s="1117"/>
      <c r="L93" s="1118"/>
      <c r="M93" s="2443"/>
      <c r="N93" s="2253"/>
      <c r="O93" s="1085"/>
      <c r="P93" s="1177" t="s">
        <v>14</v>
      </c>
      <c r="Q93" s="1258"/>
      <c r="R93" s="1259"/>
      <c r="S93" s="1058"/>
      <c r="T93" s="1257"/>
    </row>
    <row r="94" spans="2:20" ht="12.95" customHeight="1" x14ac:dyDescent="0.2">
      <c r="B94" s="2522">
        <v>6</v>
      </c>
      <c r="C94" s="2240"/>
      <c r="D94" s="1116"/>
      <c r="E94" s="1117"/>
      <c r="F94" s="1117"/>
      <c r="G94" s="1117"/>
      <c r="H94" s="1117"/>
      <c r="I94" s="1117"/>
      <c r="J94" s="1117"/>
      <c r="K94" s="1117"/>
      <c r="L94" s="1118"/>
      <c r="M94" s="2443"/>
      <c r="N94" s="2253"/>
      <c r="O94" s="1085"/>
      <c r="P94" s="1178" t="s">
        <v>42</v>
      </c>
      <c r="Q94" s="1258"/>
      <c r="R94" s="1259"/>
      <c r="S94" s="1058"/>
      <c r="T94" s="1257"/>
    </row>
    <row r="95" spans="2:20" ht="12.95" customHeight="1" thickBot="1" x14ac:dyDescent="0.25">
      <c r="B95" s="2520">
        <v>7</v>
      </c>
      <c r="C95" s="2521"/>
      <c r="D95" s="1119"/>
      <c r="E95" s="1120"/>
      <c r="F95" s="1120"/>
      <c r="G95" s="1120"/>
      <c r="H95" s="1120"/>
      <c r="I95" s="1120"/>
      <c r="J95" s="1120"/>
      <c r="K95" s="1120"/>
      <c r="L95" s="1121"/>
      <c r="M95" s="2537"/>
      <c r="N95" s="2300"/>
      <c r="O95" s="1061"/>
      <c r="P95" s="1179" t="s">
        <v>487</v>
      </c>
      <c r="Q95" s="1258"/>
      <c r="R95" s="1259"/>
      <c r="S95" s="1058"/>
      <c r="T95" s="1260"/>
    </row>
    <row r="96" spans="2:20" ht="13.5" thickTop="1" x14ac:dyDescent="0.2">
      <c r="B96" s="730"/>
      <c r="C96" s="730"/>
      <c r="D96" s="730"/>
      <c r="E96" s="730"/>
      <c r="F96" s="730"/>
      <c r="G96" s="730"/>
      <c r="H96" s="730"/>
      <c r="I96" s="730"/>
      <c r="J96" s="730"/>
      <c r="K96" s="730"/>
      <c r="L96" s="730"/>
      <c r="M96" s="730"/>
      <c r="N96" s="730"/>
      <c r="O96" s="730"/>
      <c r="P96" s="730"/>
      <c r="Q96" s="1258"/>
      <c r="R96" s="1259"/>
      <c r="S96" s="1058"/>
      <c r="T96" s="1260"/>
    </row>
    <row r="97" spans="2:16" x14ac:dyDescent="0.2">
      <c r="B97" s="730"/>
      <c r="C97" s="730"/>
      <c r="D97" s="730"/>
      <c r="E97" s="730"/>
      <c r="F97" s="730"/>
      <c r="G97" s="730"/>
      <c r="H97" s="730"/>
      <c r="I97" s="730"/>
      <c r="J97" s="730"/>
      <c r="K97" s="730"/>
      <c r="L97" s="730"/>
      <c r="M97" s="730"/>
      <c r="N97" s="730"/>
      <c r="O97" s="730"/>
      <c r="P97" s="730"/>
    </row>
    <row r="98" spans="2:16" x14ac:dyDescent="0.2">
      <c r="B98" s="730"/>
      <c r="C98" s="730"/>
      <c r="D98" s="730"/>
      <c r="E98" s="730"/>
      <c r="F98" s="730"/>
      <c r="G98" s="730"/>
      <c r="H98" s="730"/>
      <c r="I98" s="730"/>
      <c r="J98" s="730"/>
      <c r="K98" s="730"/>
      <c r="L98" s="730"/>
      <c r="M98" s="730"/>
      <c r="N98" s="730"/>
      <c r="O98" s="730"/>
      <c r="P98" s="730"/>
    </row>
    <row r="99" spans="2:16" x14ac:dyDescent="0.2">
      <c r="B99" s="730"/>
      <c r="C99" s="730"/>
      <c r="D99" s="730"/>
      <c r="E99" s="730"/>
      <c r="F99" s="730"/>
      <c r="G99" s="730"/>
      <c r="H99" s="730"/>
      <c r="I99" s="730"/>
      <c r="J99" s="730"/>
      <c r="K99" s="730"/>
      <c r="L99" s="730"/>
      <c r="M99" s="730"/>
      <c r="N99" s="730"/>
      <c r="O99" s="730"/>
      <c r="P99" s="730"/>
    </row>
    <row r="100" spans="2:16" x14ac:dyDescent="0.2">
      <c r="B100" s="730"/>
      <c r="C100" s="730"/>
      <c r="D100" s="730"/>
      <c r="E100" s="730"/>
      <c r="F100" s="730"/>
      <c r="G100" s="730"/>
      <c r="H100" s="730"/>
      <c r="I100" s="730"/>
      <c r="J100" s="730"/>
      <c r="K100" s="730"/>
      <c r="L100" s="730"/>
      <c r="M100" s="730"/>
      <c r="N100" s="730"/>
      <c r="O100" s="730"/>
      <c r="P100" s="730"/>
    </row>
    <row r="101" spans="2:16" x14ac:dyDescent="0.2">
      <c r="B101" s="730"/>
      <c r="C101" s="730"/>
      <c r="D101" s="730"/>
      <c r="E101" s="730"/>
      <c r="F101" s="730"/>
      <c r="G101" s="730"/>
      <c r="H101" s="730"/>
      <c r="I101" s="730"/>
      <c r="J101" s="730"/>
      <c r="K101" s="730"/>
      <c r="L101" s="730"/>
      <c r="M101" s="730"/>
      <c r="N101" s="730"/>
      <c r="O101" s="730"/>
      <c r="P101" s="730"/>
    </row>
    <row r="102" spans="2:16" x14ac:dyDescent="0.2">
      <c r="B102" s="730"/>
      <c r="C102" s="730"/>
      <c r="D102" s="730"/>
      <c r="E102" s="730"/>
      <c r="F102" s="730"/>
      <c r="G102" s="730"/>
      <c r="H102" s="730"/>
      <c r="I102" s="730"/>
      <c r="J102" s="730"/>
      <c r="K102" s="730"/>
      <c r="L102" s="730"/>
      <c r="M102" s="730"/>
      <c r="N102" s="730"/>
      <c r="O102" s="730"/>
      <c r="P102" s="730"/>
    </row>
    <row r="103" spans="2:16" x14ac:dyDescent="0.2">
      <c r="B103" s="730"/>
      <c r="C103" s="730"/>
      <c r="D103" s="730"/>
      <c r="E103" s="730"/>
      <c r="F103" s="730"/>
      <c r="G103" s="730"/>
      <c r="H103" s="730"/>
      <c r="I103" s="730"/>
      <c r="J103" s="730"/>
      <c r="K103" s="730"/>
      <c r="L103" s="730"/>
      <c r="M103" s="730"/>
      <c r="N103" s="730"/>
      <c r="O103" s="730"/>
      <c r="P103" s="730"/>
    </row>
    <row r="104" spans="2:16" x14ac:dyDescent="0.2">
      <c r="B104" s="730"/>
      <c r="C104" s="730"/>
      <c r="D104" s="730"/>
      <c r="E104" s="730"/>
      <c r="F104" s="730"/>
      <c r="G104" s="730"/>
      <c r="H104" s="730"/>
      <c r="I104" s="730"/>
      <c r="J104" s="730"/>
      <c r="K104" s="730"/>
      <c r="L104" s="730"/>
      <c r="M104" s="730"/>
      <c r="N104" s="730"/>
      <c r="O104" s="730"/>
      <c r="P104" s="730"/>
    </row>
    <row r="105" spans="2:16" x14ac:dyDescent="0.2">
      <c r="B105" s="730"/>
      <c r="C105" s="730"/>
      <c r="D105" s="730"/>
      <c r="E105" s="730"/>
      <c r="F105" s="730"/>
      <c r="G105" s="730"/>
      <c r="H105" s="730"/>
      <c r="I105" s="730"/>
      <c r="J105" s="730"/>
      <c r="K105" s="730"/>
      <c r="L105" s="730"/>
      <c r="M105" s="730"/>
      <c r="N105" s="730"/>
      <c r="O105" s="730"/>
      <c r="P105" s="730"/>
    </row>
    <row r="106" spans="2:16" x14ac:dyDescent="0.2">
      <c r="B106" s="730"/>
      <c r="C106" s="730"/>
      <c r="D106" s="730"/>
      <c r="E106" s="730"/>
      <c r="F106" s="730"/>
      <c r="G106" s="730"/>
      <c r="H106" s="730"/>
      <c r="I106" s="730"/>
      <c r="J106" s="730"/>
      <c r="K106" s="730"/>
      <c r="L106" s="730"/>
      <c r="M106" s="730"/>
      <c r="N106" s="730"/>
      <c r="O106" s="730"/>
      <c r="P106" s="730"/>
    </row>
    <row r="107" spans="2:16" x14ac:dyDescent="0.2">
      <c r="B107" s="730"/>
      <c r="C107" s="730"/>
      <c r="D107" s="730"/>
      <c r="E107" s="730"/>
      <c r="F107" s="730"/>
      <c r="G107" s="730"/>
      <c r="H107" s="730"/>
      <c r="I107" s="730"/>
      <c r="J107" s="730"/>
      <c r="K107" s="730"/>
      <c r="L107" s="730"/>
      <c r="M107" s="730"/>
      <c r="N107" s="730"/>
      <c r="O107" s="730"/>
      <c r="P107" s="730"/>
    </row>
    <row r="108" spans="2:16" x14ac:dyDescent="0.2">
      <c r="B108" s="730"/>
      <c r="C108" s="730"/>
      <c r="D108" s="730"/>
      <c r="E108" s="730"/>
      <c r="F108" s="730"/>
      <c r="G108" s="730"/>
      <c r="H108" s="730"/>
      <c r="I108" s="730"/>
      <c r="J108" s="730"/>
      <c r="K108" s="730"/>
      <c r="L108" s="730"/>
      <c r="M108" s="730"/>
      <c r="N108" s="730"/>
      <c r="O108" s="730"/>
      <c r="P108" s="730"/>
    </row>
    <row r="109" spans="2:16" x14ac:dyDescent="0.2">
      <c r="B109" s="730"/>
      <c r="C109" s="730"/>
      <c r="D109" s="730"/>
      <c r="E109" s="730"/>
      <c r="F109" s="730"/>
      <c r="G109" s="730"/>
      <c r="H109" s="730"/>
      <c r="I109" s="730"/>
      <c r="J109" s="730"/>
      <c r="K109" s="730"/>
      <c r="L109" s="730"/>
      <c r="M109" s="730"/>
      <c r="N109" s="730"/>
      <c r="O109" s="730"/>
      <c r="P109" s="730"/>
    </row>
    <row r="110" spans="2:16" x14ac:dyDescent="0.2">
      <c r="B110" s="730"/>
      <c r="C110" s="730"/>
      <c r="D110" s="730"/>
      <c r="E110" s="730"/>
      <c r="F110" s="730"/>
      <c r="G110" s="730"/>
      <c r="H110" s="730"/>
      <c r="I110" s="730"/>
      <c r="J110" s="730"/>
      <c r="K110" s="730"/>
      <c r="L110" s="730"/>
      <c r="M110" s="730"/>
      <c r="N110" s="730"/>
      <c r="O110" s="730"/>
      <c r="P110" s="730"/>
    </row>
    <row r="111" spans="2:16" x14ac:dyDescent="0.2">
      <c r="B111" s="730"/>
      <c r="C111" s="730"/>
      <c r="D111" s="730"/>
      <c r="E111" s="730"/>
      <c r="F111" s="730"/>
      <c r="G111" s="730"/>
      <c r="H111" s="730"/>
      <c r="I111" s="730"/>
      <c r="J111" s="730"/>
      <c r="K111" s="730"/>
      <c r="L111" s="730"/>
      <c r="M111" s="730"/>
      <c r="N111" s="730"/>
      <c r="O111" s="730"/>
      <c r="P111" s="730"/>
    </row>
    <row r="112" spans="2:16" x14ac:dyDescent="0.2">
      <c r="B112" s="730"/>
      <c r="C112" s="730"/>
      <c r="D112" s="730"/>
      <c r="E112" s="730"/>
      <c r="F112" s="730"/>
      <c r="G112" s="730"/>
      <c r="H112" s="730"/>
      <c r="I112" s="730"/>
      <c r="J112" s="730"/>
      <c r="K112" s="730"/>
      <c r="L112" s="730"/>
      <c r="M112" s="730"/>
      <c r="N112" s="730"/>
      <c r="O112" s="730"/>
      <c r="P112" s="730"/>
    </row>
  </sheetData>
  <mergeCells count="85">
    <mergeCell ref="B94:C94"/>
    <mergeCell ref="B95:C95"/>
    <mergeCell ref="M94:N94"/>
    <mergeCell ref="M95:N95"/>
    <mergeCell ref="M91:N91"/>
    <mergeCell ref="M92:N92"/>
    <mergeCell ref="M93:N93"/>
    <mergeCell ref="B91:C91"/>
    <mergeCell ref="B92:C92"/>
    <mergeCell ref="B93:C93"/>
    <mergeCell ref="M90:N90"/>
    <mergeCell ref="B83:L83"/>
    <mergeCell ref="N83:P83"/>
    <mergeCell ref="B84:P84"/>
    <mergeCell ref="B85:P85"/>
    <mergeCell ref="B86:P86"/>
    <mergeCell ref="B87:P87"/>
    <mergeCell ref="M88:N88"/>
    <mergeCell ref="M89:N89"/>
    <mergeCell ref="B88:C88"/>
    <mergeCell ref="D88:L88"/>
    <mergeCell ref="B89:C89"/>
    <mergeCell ref="D89:L89"/>
    <mergeCell ref="B90:C90"/>
    <mergeCell ref="B82:L82"/>
    <mergeCell ref="N82:P82"/>
    <mergeCell ref="B28:K28"/>
    <mergeCell ref="M74:P74"/>
    <mergeCell ref="M75:P75"/>
    <mergeCell ref="N77:P77"/>
    <mergeCell ref="N78:P78"/>
    <mergeCell ref="M79:P79"/>
    <mergeCell ref="M80:P80"/>
    <mergeCell ref="B81:L81"/>
    <mergeCell ref="M81:P81"/>
    <mergeCell ref="M76:P76"/>
    <mergeCell ref="M72:O72"/>
    <mergeCell ref="B24:K24"/>
    <mergeCell ref="L24:L27"/>
    <mergeCell ref="M24:O24"/>
    <mergeCell ref="B25:K25"/>
    <mergeCell ref="M25:M27"/>
    <mergeCell ref="N25:N27"/>
    <mergeCell ref="O25:O27"/>
    <mergeCell ref="B26:K26"/>
    <mergeCell ref="B27:K27"/>
    <mergeCell ref="B23:P23"/>
    <mergeCell ref="B17:K17"/>
    <mergeCell ref="L17:N17"/>
    <mergeCell ref="O17:P17"/>
    <mergeCell ref="B18:K18"/>
    <mergeCell ref="L18:N18"/>
    <mergeCell ref="O18:P18"/>
    <mergeCell ref="B19:K19"/>
    <mergeCell ref="L19:N19"/>
    <mergeCell ref="O19:P19"/>
    <mergeCell ref="B21:P21"/>
    <mergeCell ref="B22:P22"/>
    <mergeCell ref="B20:P20"/>
    <mergeCell ref="B14:P14"/>
    <mergeCell ref="B15:K15"/>
    <mergeCell ref="L15:N15"/>
    <mergeCell ref="O15:P15"/>
    <mergeCell ref="B16:K16"/>
    <mergeCell ref="L16:N16"/>
    <mergeCell ref="O16:P16"/>
    <mergeCell ref="B13:K13"/>
    <mergeCell ref="B6:K6"/>
    <mergeCell ref="M6:P6"/>
    <mergeCell ref="B7:K7"/>
    <mergeCell ref="M7:P7"/>
    <mergeCell ref="B8:K8"/>
    <mergeCell ref="M8:P8"/>
    <mergeCell ref="M9:P9"/>
    <mergeCell ref="B9:K9"/>
    <mergeCell ref="B10:K10"/>
    <mergeCell ref="L10:P10"/>
    <mergeCell ref="B11:K11"/>
    <mergeCell ref="B12:K12"/>
    <mergeCell ref="P2:P3"/>
    <mergeCell ref="B4:O4"/>
    <mergeCell ref="P4:P5"/>
    <mergeCell ref="B5:O5"/>
    <mergeCell ref="F2:O2"/>
    <mergeCell ref="F3:O3"/>
  </mergeCells>
  <pageMargins left="0.95866141699999996" right="0.15748031496063" top="0.74803149606299202" bottom="0.74803149606299202" header="0.31496062992126" footer="0.31496062992126"/>
  <pageSetup paperSize="5" scale="62"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Z135"/>
  <sheetViews>
    <sheetView view="pageBreakPreview" topLeftCell="L58" zoomScale="70" zoomScaleSheetLayoutView="70" workbookViewId="0">
      <selection activeCell="P56" sqref="P56"/>
    </sheetView>
  </sheetViews>
  <sheetFormatPr defaultColWidth="9.140625" defaultRowHeight="12.75" x14ac:dyDescent="0.2"/>
  <cols>
    <col min="1" max="1" width="3.85546875" style="1261" customWidth="1"/>
    <col min="2" max="2" width="2.7109375" style="1261" customWidth="1"/>
    <col min="3" max="4" width="3.140625" style="1261" customWidth="1"/>
    <col min="5" max="5" width="3.28515625" style="1261" customWidth="1"/>
    <col min="6" max="6" width="3.140625" style="1261" customWidth="1"/>
    <col min="7" max="9" width="2.7109375" style="1261" customWidth="1"/>
    <col min="10" max="10" width="3.28515625" style="1261" customWidth="1"/>
    <col min="11" max="11" width="3.42578125" style="1261" customWidth="1"/>
    <col min="12" max="12" width="44.85546875" style="1261" customWidth="1"/>
    <col min="13" max="13" width="11.140625" style="1261" customWidth="1"/>
    <col min="14" max="14" width="10.85546875" style="1261" customWidth="1"/>
    <col min="15" max="15" width="13.5703125" style="1261" customWidth="1"/>
    <col min="16" max="16" width="16.5703125" style="1261" customWidth="1"/>
    <col min="17" max="17" width="1.7109375" style="1261" customWidth="1"/>
    <col min="18" max="18" width="17.7109375" style="1261" customWidth="1"/>
    <col min="19" max="19" width="12.85546875" style="1261" customWidth="1"/>
    <col min="20" max="20" width="13.7109375" style="1261" customWidth="1"/>
    <col min="21" max="21" width="2" style="1261" customWidth="1"/>
    <col min="22" max="22" width="10.42578125" style="1261" customWidth="1"/>
    <col min="23" max="23" width="13.140625" style="1261" customWidth="1"/>
    <col min="24" max="24" width="16" style="1261" customWidth="1"/>
    <col min="25" max="25" width="12.5703125" style="1261" bestFit="1" customWidth="1"/>
    <col min="26" max="26" width="12.140625" style="1261" customWidth="1"/>
    <col min="27" max="16384" width="9.140625" style="1261"/>
  </cols>
  <sheetData>
    <row r="1" spans="2:17" ht="13.5" thickBot="1" x14ac:dyDescent="0.25"/>
    <row r="2" spans="2:17" ht="18.95" customHeight="1" thickTop="1" x14ac:dyDescent="0.2">
      <c r="B2" s="209"/>
      <c r="C2" s="210"/>
      <c r="D2" s="210"/>
      <c r="E2" s="210"/>
      <c r="F2" s="2623" t="s">
        <v>182</v>
      </c>
      <c r="G2" s="2623"/>
      <c r="H2" s="2623"/>
      <c r="I2" s="2623"/>
      <c r="J2" s="2623"/>
      <c r="K2" s="2623"/>
      <c r="L2" s="2623"/>
      <c r="M2" s="2623"/>
      <c r="N2" s="2623"/>
      <c r="O2" s="2624"/>
      <c r="P2" s="2625" t="s">
        <v>67</v>
      </c>
      <c r="Q2" s="510"/>
    </row>
    <row r="3" spans="2:17" ht="18.95" customHeight="1" x14ac:dyDescent="0.2">
      <c r="B3" s="211"/>
      <c r="C3" s="212"/>
      <c r="D3" s="212"/>
      <c r="E3" s="212"/>
      <c r="F3" s="2465" t="s">
        <v>183</v>
      </c>
      <c r="G3" s="2465"/>
      <c r="H3" s="2465"/>
      <c r="I3" s="2465"/>
      <c r="J3" s="2465"/>
      <c r="K3" s="2465"/>
      <c r="L3" s="2465"/>
      <c r="M3" s="2465"/>
      <c r="N3" s="2465"/>
      <c r="O3" s="2466"/>
      <c r="P3" s="2626"/>
      <c r="Q3" s="510"/>
    </row>
    <row r="4" spans="2:17" ht="12.95" customHeight="1" x14ac:dyDescent="0.2">
      <c r="B4" s="2629" t="s">
        <v>33</v>
      </c>
      <c r="C4" s="2630"/>
      <c r="D4" s="2630"/>
      <c r="E4" s="2630"/>
      <c r="F4" s="2630"/>
      <c r="G4" s="2630"/>
      <c r="H4" s="2630"/>
      <c r="I4" s="2630"/>
      <c r="J4" s="2630"/>
      <c r="K4" s="2630"/>
      <c r="L4" s="2630"/>
      <c r="M4" s="2630"/>
      <c r="N4" s="2630"/>
      <c r="O4" s="2631"/>
      <c r="P4" s="2632" t="s">
        <v>30</v>
      </c>
      <c r="Q4" s="511"/>
    </row>
    <row r="5" spans="2:17" ht="12.95" customHeight="1" thickBot="1" x14ac:dyDescent="0.25">
      <c r="B5" s="2634" t="str">
        <f>'RECAP APBD'!B5:F5</f>
        <v>Tahun Anggaran 2020</v>
      </c>
      <c r="C5" s="2635"/>
      <c r="D5" s="2635"/>
      <c r="E5" s="2635"/>
      <c r="F5" s="2635"/>
      <c r="G5" s="2635"/>
      <c r="H5" s="2635"/>
      <c r="I5" s="2635"/>
      <c r="J5" s="2635"/>
      <c r="K5" s="2635"/>
      <c r="L5" s="2635"/>
      <c r="M5" s="2635"/>
      <c r="N5" s="2635"/>
      <c r="O5" s="2636"/>
      <c r="P5" s="2633"/>
      <c r="Q5" s="511"/>
    </row>
    <row r="6" spans="2:17" s="715" customFormat="1" ht="12.95" customHeight="1" x14ac:dyDescent="0.2">
      <c r="B6" s="2462" t="s">
        <v>453</v>
      </c>
      <c r="C6" s="2463"/>
      <c r="D6" s="2463"/>
      <c r="E6" s="2463"/>
      <c r="F6" s="2463"/>
      <c r="G6" s="2463"/>
      <c r="H6" s="2463"/>
      <c r="I6" s="2463"/>
      <c r="J6" s="2463"/>
      <c r="K6" s="2463"/>
      <c r="L6" s="1068" t="s">
        <v>442</v>
      </c>
      <c r="M6" s="2213" t="s">
        <v>437</v>
      </c>
      <c r="N6" s="2213"/>
      <c r="O6" s="2213"/>
      <c r="P6" s="2214"/>
      <c r="Q6" s="296"/>
    </row>
    <row r="7" spans="2:17" s="715" customFormat="1" ht="12.95" customHeight="1" x14ac:dyDescent="0.2">
      <c r="B7" s="2471" t="s">
        <v>19</v>
      </c>
      <c r="C7" s="2355"/>
      <c r="D7" s="2355"/>
      <c r="E7" s="2355"/>
      <c r="F7" s="2355"/>
      <c r="G7" s="2355"/>
      <c r="H7" s="2355"/>
      <c r="I7" s="2355"/>
      <c r="J7" s="2355"/>
      <c r="K7" s="2355"/>
      <c r="L7" s="1066" t="s">
        <v>441</v>
      </c>
      <c r="M7" s="2541" t="s">
        <v>466</v>
      </c>
      <c r="N7" s="2541"/>
      <c r="O7" s="2541"/>
      <c r="P7" s="2542"/>
      <c r="Q7" s="512"/>
    </row>
    <row r="8" spans="2:17" ht="16.5" customHeight="1" x14ac:dyDescent="0.2">
      <c r="B8" s="2652" t="s">
        <v>32</v>
      </c>
      <c r="C8" s="2653"/>
      <c r="D8" s="2653"/>
      <c r="E8" s="2653"/>
      <c r="F8" s="2653"/>
      <c r="G8" s="2653"/>
      <c r="H8" s="2653"/>
      <c r="I8" s="2653"/>
      <c r="J8" s="2653"/>
      <c r="K8" s="2653"/>
      <c r="L8" s="1540" t="s">
        <v>459</v>
      </c>
      <c r="M8" s="2849" t="s">
        <v>926</v>
      </c>
      <c r="N8" s="2849"/>
      <c r="O8" s="2849"/>
      <c r="P8" s="2850"/>
      <c r="Q8" s="513"/>
    </row>
    <row r="9" spans="2:17" ht="30.95" customHeight="1" x14ac:dyDescent="0.2">
      <c r="B9" s="2648" t="s">
        <v>20</v>
      </c>
      <c r="C9" s="2649"/>
      <c r="D9" s="2649"/>
      <c r="E9" s="2649"/>
      <c r="F9" s="2649"/>
      <c r="G9" s="2649"/>
      <c r="H9" s="2649"/>
      <c r="I9" s="2649"/>
      <c r="J9" s="2649"/>
      <c r="K9" s="2649"/>
      <c r="L9" s="454" t="s">
        <v>460</v>
      </c>
      <c r="M9" s="2720" t="s">
        <v>925</v>
      </c>
      <c r="N9" s="2720"/>
      <c r="O9" s="2720"/>
      <c r="P9" s="2721"/>
      <c r="Q9" s="514"/>
    </row>
    <row r="10" spans="2:17" ht="27.6" customHeight="1" x14ac:dyDescent="0.2">
      <c r="B10" s="2652" t="s">
        <v>221</v>
      </c>
      <c r="C10" s="2653"/>
      <c r="D10" s="2653"/>
      <c r="E10" s="2653"/>
      <c r="F10" s="2653"/>
      <c r="G10" s="2653"/>
      <c r="H10" s="2653"/>
      <c r="I10" s="2653"/>
      <c r="J10" s="2653"/>
      <c r="K10" s="2653"/>
      <c r="L10" s="2835" t="s">
        <v>917</v>
      </c>
      <c r="M10" s="2835"/>
      <c r="N10" s="2835"/>
      <c r="O10" s="2835"/>
      <c r="P10" s="2836"/>
      <c r="Q10" s="515"/>
    </row>
    <row r="11" spans="2:17" ht="12.95" customHeight="1" x14ac:dyDescent="0.2">
      <c r="B11" s="2637" t="s">
        <v>222</v>
      </c>
      <c r="C11" s="2638"/>
      <c r="D11" s="2638"/>
      <c r="E11" s="2638"/>
      <c r="F11" s="2638"/>
      <c r="G11" s="2638"/>
      <c r="H11" s="2638"/>
      <c r="I11" s="2638"/>
      <c r="J11" s="2638"/>
      <c r="K11" s="2638"/>
      <c r="L11" s="371">
        <v>824850000</v>
      </c>
      <c r="M11" s="213"/>
      <c r="N11" s="213"/>
      <c r="O11" s="213"/>
      <c r="P11" s="214"/>
      <c r="Q11" s="516"/>
    </row>
    <row r="12" spans="2:17" ht="12.95" customHeight="1" x14ac:dyDescent="0.2">
      <c r="B12" s="2637" t="s">
        <v>223</v>
      </c>
      <c r="C12" s="2638"/>
      <c r="D12" s="2638"/>
      <c r="E12" s="2638"/>
      <c r="F12" s="2638"/>
      <c r="G12" s="2638"/>
      <c r="H12" s="2638"/>
      <c r="I12" s="2638"/>
      <c r="J12" s="2638"/>
      <c r="K12" s="2638"/>
      <c r="L12" s="371">
        <f>+P29</f>
        <v>610473500</v>
      </c>
      <c r="M12" s="213"/>
      <c r="N12" s="213"/>
      <c r="O12" s="213"/>
      <c r="P12" s="214"/>
      <c r="Q12" s="516"/>
    </row>
    <row r="13" spans="2:17" ht="12.95" customHeight="1" x14ac:dyDescent="0.2">
      <c r="B13" s="2637" t="s">
        <v>224</v>
      </c>
      <c r="C13" s="2638"/>
      <c r="D13" s="2638"/>
      <c r="E13" s="2638"/>
      <c r="F13" s="2638"/>
      <c r="G13" s="2638"/>
      <c r="H13" s="2638"/>
      <c r="I13" s="2638"/>
      <c r="J13" s="2638"/>
      <c r="K13" s="2638"/>
      <c r="L13" s="152">
        <f>L12+(L12*5%)</f>
        <v>640997175</v>
      </c>
      <c r="M13" s="213"/>
      <c r="N13" s="213"/>
      <c r="O13" s="213"/>
      <c r="P13" s="214"/>
      <c r="Q13" s="516"/>
    </row>
    <row r="14" spans="2:17" ht="12.95" customHeight="1" x14ac:dyDescent="0.2">
      <c r="B14" s="2656" t="s">
        <v>225</v>
      </c>
      <c r="C14" s="2657"/>
      <c r="D14" s="2657"/>
      <c r="E14" s="2657"/>
      <c r="F14" s="2657"/>
      <c r="G14" s="2657"/>
      <c r="H14" s="2657"/>
      <c r="I14" s="2657"/>
      <c r="J14" s="2657"/>
      <c r="K14" s="2657"/>
      <c r="L14" s="2657"/>
      <c r="M14" s="2657"/>
      <c r="N14" s="2657"/>
      <c r="O14" s="2657"/>
      <c r="P14" s="2658"/>
      <c r="Q14" s="517"/>
    </row>
    <row r="15" spans="2:17" ht="12.95" customHeight="1" x14ac:dyDescent="0.2">
      <c r="B15" s="2656" t="s">
        <v>36</v>
      </c>
      <c r="C15" s="2657"/>
      <c r="D15" s="2657"/>
      <c r="E15" s="2657"/>
      <c r="F15" s="2657"/>
      <c r="G15" s="2657"/>
      <c r="H15" s="2657"/>
      <c r="I15" s="2657"/>
      <c r="J15" s="2657"/>
      <c r="K15" s="2659"/>
      <c r="L15" s="2660" t="s">
        <v>226</v>
      </c>
      <c r="M15" s="2657"/>
      <c r="N15" s="2659"/>
      <c r="O15" s="2660" t="s">
        <v>227</v>
      </c>
      <c r="P15" s="2658"/>
      <c r="Q15" s="517"/>
    </row>
    <row r="16" spans="2:17" ht="23.45" customHeight="1" x14ac:dyDescent="0.2">
      <c r="B16" s="2641" t="s">
        <v>37</v>
      </c>
      <c r="C16" s="2642"/>
      <c r="D16" s="2642"/>
      <c r="E16" s="2642"/>
      <c r="F16" s="2642"/>
      <c r="G16" s="2642"/>
      <c r="H16" s="2642"/>
      <c r="I16" s="2642"/>
      <c r="J16" s="2642"/>
      <c r="K16" s="2643"/>
      <c r="L16" s="2837" t="s">
        <v>785</v>
      </c>
      <c r="M16" s="2838"/>
      <c r="N16" s="2839"/>
      <c r="O16" s="2840">
        <v>1</v>
      </c>
      <c r="P16" s="2712"/>
      <c r="Q16" s="518"/>
    </row>
    <row r="17" spans="2:19" ht="12.95" customHeight="1" x14ac:dyDescent="0.2">
      <c r="B17" s="2641" t="s">
        <v>228</v>
      </c>
      <c r="C17" s="2642"/>
      <c r="D17" s="2642"/>
      <c r="E17" s="2642"/>
      <c r="F17" s="2642"/>
      <c r="G17" s="2642"/>
      <c r="H17" s="2642"/>
      <c r="I17" s="2642"/>
      <c r="J17" s="2642"/>
      <c r="K17" s="2643"/>
      <c r="L17" s="2829" t="s">
        <v>287</v>
      </c>
      <c r="M17" s="2830"/>
      <c r="N17" s="2831"/>
      <c r="O17" s="2661">
        <f>P29</f>
        <v>610473500</v>
      </c>
      <c r="P17" s="2662"/>
      <c r="Q17" s="1427"/>
    </row>
    <row r="18" spans="2:19" ht="12.95" customHeight="1" x14ac:dyDescent="0.2">
      <c r="B18" s="2641" t="s">
        <v>229</v>
      </c>
      <c r="C18" s="2642"/>
      <c r="D18" s="2642"/>
      <c r="E18" s="2642"/>
      <c r="F18" s="2642"/>
      <c r="G18" s="2642"/>
      <c r="H18" s="2642"/>
      <c r="I18" s="2642"/>
      <c r="J18" s="2642"/>
      <c r="K18" s="2643"/>
      <c r="L18" s="2837" t="s">
        <v>695</v>
      </c>
      <c r="M18" s="2838"/>
      <c r="N18" s="2839"/>
      <c r="O18" s="2646" t="s">
        <v>696</v>
      </c>
      <c r="P18" s="2647"/>
      <c r="Q18" s="518"/>
    </row>
    <row r="19" spans="2:19" ht="12.95" customHeight="1" x14ac:dyDescent="0.2">
      <c r="B19" s="2641" t="s">
        <v>230</v>
      </c>
      <c r="C19" s="2642"/>
      <c r="D19" s="2642"/>
      <c r="E19" s="2642"/>
      <c r="F19" s="2642"/>
      <c r="G19" s="2642"/>
      <c r="H19" s="2642"/>
      <c r="I19" s="2642"/>
      <c r="J19" s="2642"/>
      <c r="K19" s="2643"/>
      <c r="L19" s="2837" t="s">
        <v>786</v>
      </c>
      <c r="M19" s="2841"/>
      <c r="N19" s="2842"/>
      <c r="O19" s="2646">
        <v>0.7</v>
      </c>
      <c r="P19" s="2647"/>
      <c r="Q19" s="518"/>
    </row>
    <row r="20" spans="2:19" ht="6.95" customHeight="1" x14ac:dyDescent="0.2">
      <c r="B20" s="2665"/>
      <c r="C20" s="2666"/>
      <c r="D20" s="2666"/>
      <c r="E20" s="2666"/>
      <c r="F20" s="2666"/>
      <c r="G20" s="2666"/>
      <c r="H20" s="2666"/>
      <c r="I20" s="2666"/>
      <c r="J20" s="2666"/>
      <c r="K20" s="2666"/>
      <c r="L20" s="2666"/>
      <c r="M20" s="2666"/>
      <c r="N20" s="2666"/>
      <c r="O20" s="2666"/>
      <c r="P20" s="2667"/>
      <c r="Q20" s="1428"/>
    </row>
    <row r="21" spans="2:19" ht="12.95" customHeight="1" x14ac:dyDescent="0.2">
      <c r="B21" s="2843" t="s">
        <v>290</v>
      </c>
      <c r="C21" s="2844"/>
      <c r="D21" s="2844"/>
      <c r="E21" s="2844"/>
      <c r="F21" s="2844"/>
      <c r="G21" s="2844"/>
      <c r="H21" s="2844"/>
      <c r="I21" s="2844"/>
      <c r="J21" s="2844"/>
      <c r="K21" s="2844"/>
      <c r="L21" s="2844"/>
      <c r="M21" s="2844"/>
      <c r="N21" s="2844"/>
      <c r="O21" s="2844"/>
      <c r="P21" s="2845"/>
      <c r="Q21" s="519"/>
    </row>
    <row r="22" spans="2:19" ht="12.95" customHeight="1" x14ac:dyDescent="0.2">
      <c r="B22" s="2487" t="s">
        <v>231</v>
      </c>
      <c r="C22" s="2488"/>
      <c r="D22" s="2488"/>
      <c r="E22" s="2488"/>
      <c r="F22" s="2488"/>
      <c r="G22" s="2488"/>
      <c r="H22" s="2488"/>
      <c r="I22" s="2488"/>
      <c r="J22" s="2488"/>
      <c r="K22" s="2488"/>
      <c r="L22" s="2488"/>
      <c r="M22" s="2488"/>
      <c r="N22" s="2488"/>
      <c r="O22" s="2488"/>
      <c r="P22" s="2489"/>
      <c r="Q22" s="520"/>
    </row>
    <row r="23" spans="2:19" ht="12.95" customHeight="1" x14ac:dyDescent="0.2">
      <c r="B23" s="2490" t="s">
        <v>38</v>
      </c>
      <c r="C23" s="2491"/>
      <c r="D23" s="2491"/>
      <c r="E23" s="2491"/>
      <c r="F23" s="2491"/>
      <c r="G23" s="2491"/>
      <c r="H23" s="2491"/>
      <c r="I23" s="2491"/>
      <c r="J23" s="2491"/>
      <c r="K23" s="2491"/>
      <c r="L23" s="2491"/>
      <c r="M23" s="2491"/>
      <c r="N23" s="2491"/>
      <c r="O23" s="2491"/>
      <c r="P23" s="2492"/>
      <c r="Q23" s="520"/>
    </row>
    <row r="24" spans="2:19" ht="12.95" customHeight="1" x14ac:dyDescent="0.2">
      <c r="B24" s="2673"/>
      <c r="C24" s="2674"/>
      <c r="D24" s="2674"/>
      <c r="E24" s="2674"/>
      <c r="F24" s="2674"/>
      <c r="G24" s="2674"/>
      <c r="H24" s="2674"/>
      <c r="I24" s="2674"/>
      <c r="J24" s="2674"/>
      <c r="K24" s="2675"/>
      <c r="L24" s="2676" t="s">
        <v>191</v>
      </c>
      <c r="M24" s="2679" t="s">
        <v>198</v>
      </c>
      <c r="N24" s="2680"/>
      <c r="O24" s="2681"/>
      <c r="P24" s="1262"/>
      <c r="Q24" s="1308"/>
    </row>
    <row r="25" spans="2:19" ht="12.95" customHeight="1" x14ac:dyDescent="0.2">
      <c r="B25" s="2682" t="s">
        <v>189</v>
      </c>
      <c r="C25" s="2683"/>
      <c r="D25" s="2683"/>
      <c r="E25" s="2683"/>
      <c r="F25" s="2683"/>
      <c r="G25" s="2683"/>
      <c r="H25" s="2683"/>
      <c r="I25" s="2683"/>
      <c r="J25" s="2683"/>
      <c r="K25" s="2684"/>
      <c r="L25" s="2677"/>
      <c r="M25" s="2685" t="s">
        <v>200</v>
      </c>
      <c r="N25" s="2676" t="s">
        <v>26</v>
      </c>
      <c r="O25" s="2676" t="s">
        <v>217</v>
      </c>
      <c r="P25" s="215" t="s">
        <v>192</v>
      </c>
      <c r="Q25" s="1090"/>
    </row>
    <row r="26" spans="2:19" ht="12.95" customHeight="1" x14ac:dyDescent="0.2">
      <c r="B26" s="2682" t="s">
        <v>197</v>
      </c>
      <c r="C26" s="2683"/>
      <c r="D26" s="2683"/>
      <c r="E26" s="2683"/>
      <c r="F26" s="2683"/>
      <c r="G26" s="2683"/>
      <c r="H26" s="2683"/>
      <c r="I26" s="2683"/>
      <c r="J26" s="2683"/>
      <c r="K26" s="2684"/>
      <c r="L26" s="2677"/>
      <c r="M26" s="2686"/>
      <c r="N26" s="2677"/>
      <c r="O26" s="2677"/>
      <c r="P26" s="215" t="s">
        <v>193</v>
      </c>
      <c r="Q26" s="1090"/>
    </row>
    <row r="27" spans="2:19" ht="12.95" customHeight="1" x14ac:dyDescent="0.2">
      <c r="B27" s="2688"/>
      <c r="C27" s="2689"/>
      <c r="D27" s="2689"/>
      <c r="E27" s="2689"/>
      <c r="F27" s="2689"/>
      <c r="G27" s="2689"/>
      <c r="H27" s="2689"/>
      <c r="I27" s="2689"/>
      <c r="J27" s="2689"/>
      <c r="K27" s="2690"/>
      <c r="L27" s="2678"/>
      <c r="M27" s="2687"/>
      <c r="N27" s="2678"/>
      <c r="O27" s="2678"/>
      <c r="P27" s="1263"/>
      <c r="Q27" s="1429"/>
    </row>
    <row r="28" spans="2:19" ht="12.95" customHeight="1" thickBot="1" x14ac:dyDescent="0.25">
      <c r="B28" s="2691">
        <v>1</v>
      </c>
      <c r="C28" s="2692"/>
      <c r="D28" s="2692"/>
      <c r="E28" s="2692"/>
      <c r="F28" s="2692"/>
      <c r="G28" s="2692"/>
      <c r="H28" s="2692"/>
      <c r="I28" s="2692"/>
      <c r="J28" s="2692"/>
      <c r="K28" s="2693"/>
      <c r="L28" s="1086">
        <v>2</v>
      </c>
      <c r="M28" s="1086">
        <v>3</v>
      </c>
      <c r="N28" s="1086">
        <v>4</v>
      </c>
      <c r="O28" s="216">
        <v>5</v>
      </c>
      <c r="P28" s="217" t="s">
        <v>24</v>
      </c>
      <c r="Q28" s="1090"/>
    </row>
    <row r="29" spans="2:19" ht="12.95" customHeight="1" thickTop="1" x14ac:dyDescent="0.2">
      <c r="B29" s="521">
        <v>1</v>
      </c>
      <c r="C29" s="522" t="s">
        <v>440</v>
      </c>
      <c r="D29" s="522" t="s">
        <v>142</v>
      </c>
      <c r="E29" s="523"/>
      <c r="F29" s="524"/>
      <c r="G29" s="524">
        <v>5</v>
      </c>
      <c r="H29" s="524">
        <v>2</v>
      </c>
      <c r="I29" s="524"/>
      <c r="J29" s="524"/>
      <c r="K29" s="524"/>
      <c r="L29" s="525" t="s">
        <v>108</v>
      </c>
      <c r="M29" s="526"/>
      <c r="N29" s="527"/>
      <c r="O29" s="527"/>
      <c r="P29" s="1430">
        <f>P30</f>
        <v>610473500</v>
      </c>
      <c r="Q29" s="1431"/>
      <c r="R29" s="1223"/>
      <c r="S29" s="1264"/>
    </row>
    <row r="30" spans="2:19" ht="12.95" customHeight="1" x14ac:dyDescent="0.2">
      <c r="B30" s="528">
        <v>1</v>
      </c>
      <c r="C30" s="529" t="s">
        <v>440</v>
      </c>
      <c r="D30" s="529" t="s">
        <v>142</v>
      </c>
      <c r="E30" s="530">
        <v>18</v>
      </c>
      <c r="F30" s="529"/>
      <c r="G30" s="531"/>
      <c r="H30" s="531"/>
      <c r="I30" s="531"/>
      <c r="J30" s="531"/>
      <c r="K30" s="531"/>
      <c r="L30" s="532" t="s">
        <v>590</v>
      </c>
      <c r="M30" s="1422"/>
      <c r="N30" s="533"/>
      <c r="O30" s="533"/>
      <c r="P30" s="1358">
        <f>P31</f>
        <v>610473500</v>
      </c>
      <c r="Q30" s="1431"/>
      <c r="S30" s="1223"/>
    </row>
    <row r="31" spans="2:19" ht="26.1" customHeight="1" x14ac:dyDescent="0.2">
      <c r="B31" s="1423">
        <v>1</v>
      </c>
      <c r="C31" s="1424" t="s">
        <v>440</v>
      </c>
      <c r="D31" s="1424" t="s">
        <v>142</v>
      </c>
      <c r="E31" s="1425">
        <v>18</v>
      </c>
      <c r="F31" s="1425" t="s">
        <v>142</v>
      </c>
      <c r="G31" s="1426"/>
      <c r="H31" s="1426"/>
      <c r="I31" s="1426"/>
      <c r="J31" s="1426"/>
      <c r="K31" s="1424"/>
      <c r="L31" s="1432" t="s">
        <v>665</v>
      </c>
      <c r="M31" s="1422"/>
      <c r="N31" s="533"/>
      <c r="O31" s="533" t="s">
        <v>66</v>
      </c>
      <c r="P31" s="1433">
        <f>P32+P44</f>
        <v>610473500</v>
      </c>
      <c r="Q31" s="1431"/>
    </row>
    <row r="32" spans="2:19" ht="12.95" customHeight="1" x14ac:dyDescent="0.2">
      <c r="B32" s="528">
        <v>1</v>
      </c>
      <c r="C32" s="529" t="s">
        <v>440</v>
      </c>
      <c r="D32" s="529" t="s">
        <v>142</v>
      </c>
      <c r="E32" s="530">
        <v>18</v>
      </c>
      <c r="F32" s="530" t="s">
        <v>142</v>
      </c>
      <c r="G32" s="531">
        <v>5</v>
      </c>
      <c r="H32" s="531">
        <v>2</v>
      </c>
      <c r="I32" s="531">
        <v>1</v>
      </c>
      <c r="J32" s="531"/>
      <c r="K32" s="531"/>
      <c r="L32" s="534" t="s">
        <v>86</v>
      </c>
      <c r="M32" s="1434"/>
      <c r="N32" s="1435"/>
      <c r="O32" s="1435"/>
      <c r="P32" s="1358">
        <f>P33+P37</f>
        <v>4350000</v>
      </c>
      <c r="Q32" s="1431"/>
    </row>
    <row r="33" spans="2:21" ht="12.95" customHeight="1" x14ac:dyDescent="0.2">
      <c r="B33" s="528">
        <v>1</v>
      </c>
      <c r="C33" s="529" t="s">
        <v>440</v>
      </c>
      <c r="D33" s="529" t="s">
        <v>142</v>
      </c>
      <c r="E33" s="530">
        <v>18</v>
      </c>
      <c r="F33" s="530" t="s">
        <v>142</v>
      </c>
      <c r="G33" s="531">
        <v>5</v>
      </c>
      <c r="H33" s="531">
        <v>2</v>
      </c>
      <c r="I33" s="531">
        <v>1</v>
      </c>
      <c r="J33" s="529" t="s">
        <v>142</v>
      </c>
      <c r="K33" s="531"/>
      <c r="L33" s="535" t="s">
        <v>159</v>
      </c>
      <c r="M33" s="1434"/>
      <c r="N33" s="1357"/>
      <c r="O33" s="1357"/>
      <c r="P33" s="1358">
        <f>P34</f>
        <v>3250000</v>
      </c>
      <c r="Q33" s="1431"/>
    </row>
    <row r="34" spans="2:21" ht="12.95" customHeight="1" x14ac:dyDescent="0.2">
      <c r="B34" s="528">
        <v>1</v>
      </c>
      <c r="C34" s="529" t="s">
        <v>440</v>
      </c>
      <c r="D34" s="529" t="s">
        <v>142</v>
      </c>
      <c r="E34" s="530">
        <v>18</v>
      </c>
      <c r="F34" s="530" t="s">
        <v>142</v>
      </c>
      <c r="G34" s="531">
        <v>5</v>
      </c>
      <c r="H34" s="531">
        <v>2</v>
      </c>
      <c r="I34" s="531">
        <v>1</v>
      </c>
      <c r="J34" s="529" t="s">
        <v>142</v>
      </c>
      <c r="K34" s="529" t="s">
        <v>142</v>
      </c>
      <c r="L34" s="536" t="s">
        <v>143</v>
      </c>
      <c r="M34" s="1383"/>
      <c r="N34" s="1360"/>
      <c r="O34" s="1360"/>
      <c r="P34" s="1361">
        <f>SUM(P35:P35)</f>
        <v>3250000</v>
      </c>
      <c r="Q34" s="1436"/>
    </row>
    <row r="35" spans="2:21" ht="39.950000000000003" customHeight="1" x14ac:dyDescent="0.2">
      <c r="B35" s="528"/>
      <c r="C35" s="529"/>
      <c r="D35" s="529"/>
      <c r="E35" s="530"/>
      <c r="F35" s="529"/>
      <c r="G35" s="531"/>
      <c r="H35" s="531"/>
      <c r="I35" s="531"/>
      <c r="J35" s="529"/>
      <c r="K35" s="529"/>
      <c r="L35" s="1611" t="s">
        <v>1013</v>
      </c>
      <c r="M35" s="1383">
        <v>10</v>
      </c>
      <c r="N35" s="1363" t="s">
        <v>106</v>
      </c>
      <c r="O35" s="1612">
        <v>325000</v>
      </c>
      <c r="P35" s="1365">
        <f>O35*M35</f>
        <v>3250000</v>
      </c>
      <c r="Q35" s="1436"/>
    </row>
    <row r="36" spans="2:21" ht="12.95" customHeight="1" x14ac:dyDescent="0.2">
      <c r="B36" s="528"/>
      <c r="C36" s="529"/>
      <c r="D36" s="529"/>
      <c r="E36" s="530"/>
      <c r="F36" s="529"/>
      <c r="G36" s="531"/>
      <c r="H36" s="531"/>
      <c r="I36" s="531"/>
      <c r="J36" s="529"/>
      <c r="K36" s="529"/>
      <c r="L36" s="537"/>
      <c r="M36" s="1383"/>
      <c r="N36" s="1360"/>
      <c r="O36" s="1359"/>
      <c r="P36" s="1361"/>
      <c r="Q36" s="1436"/>
    </row>
    <row r="37" spans="2:21" ht="12.95" customHeight="1" x14ac:dyDescent="0.2">
      <c r="B37" s="377">
        <v>1</v>
      </c>
      <c r="C37" s="378" t="s">
        <v>440</v>
      </c>
      <c r="D37" s="378" t="s">
        <v>142</v>
      </c>
      <c r="E37" s="379">
        <v>18</v>
      </c>
      <c r="F37" s="379" t="s">
        <v>145</v>
      </c>
      <c r="G37" s="380">
        <v>5</v>
      </c>
      <c r="H37" s="380">
        <v>2</v>
      </c>
      <c r="I37" s="380">
        <v>1</v>
      </c>
      <c r="J37" s="378" t="s">
        <v>145</v>
      </c>
      <c r="K37" s="380"/>
      <c r="L37" s="538" t="s">
        <v>176</v>
      </c>
      <c r="M37" s="1344"/>
      <c r="N37" s="1327"/>
      <c r="O37" s="1327"/>
      <c r="P37" s="1324">
        <f>P38</f>
        <v>1100000</v>
      </c>
      <c r="Q37" s="301"/>
    </row>
    <row r="38" spans="2:21" ht="12.95" customHeight="1" x14ac:dyDescent="0.2">
      <c r="B38" s="377">
        <v>1</v>
      </c>
      <c r="C38" s="378" t="s">
        <v>440</v>
      </c>
      <c r="D38" s="378" t="s">
        <v>142</v>
      </c>
      <c r="E38" s="379">
        <v>18</v>
      </c>
      <c r="F38" s="379" t="s">
        <v>145</v>
      </c>
      <c r="G38" s="380">
        <v>5</v>
      </c>
      <c r="H38" s="380">
        <v>2</v>
      </c>
      <c r="I38" s="380">
        <v>1</v>
      </c>
      <c r="J38" s="378" t="s">
        <v>145</v>
      </c>
      <c r="K38" s="378" t="s">
        <v>164</v>
      </c>
      <c r="L38" s="539" t="s">
        <v>284</v>
      </c>
      <c r="M38" s="1344"/>
      <c r="N38" s="1328"/>
      <c r="O38" s="1331"/>
      <c r="P38" s="1332">
        <f>SUM(P39:P42)</f>
        <v>1100000</v>
      </c>
      <c r="Q38" s="1437"/>
    </row>
    <row r="39" spans="2:21" ht="12.95" customHeight="1" x14ac:dyDescent="0.2">
      <c r="B39" s="377"/>
      <c r="C39" s="378"/>
      <c r="D39" s="378"/>
      <c r="E39" s="379"/>
      <c r="F39" s="378"/>
      <c r="G39" s="380"/>
      <c r="H39" s="380"/>
      <c r="I39" s="380"/>
      <c r="J39" s="378"/>
      <c r="K39" s="378"/>
      <c r="L39" s="555" t="s">
        <v>656</v>
      </c>
      <c r="M39" s="1438">
        <v>1</v>
      </c>
      <c r="N39" s="1439" t="s">
        <v>256</v>
      </c>
      <c r="O39" s="1440">
        <v>300000</v>
      </c>
      <c r="P39" s="1338">
        <f>O39*M39</f>
        <v>300000</v>
      </c>
      <c r="Q39" s="1441"/>
    </row>
    <row r="40" spans="2:21" ht="12.95" customHeight="1" x14ac:dyDescent="0.2">
      <c r="B40" s="377"/>
      <c r="C40" s="378"/>
      <c r="D40" s="378"/>
      <c r="E40" s="379"/>
      <c r="F40" s="378"/>
      <c r="G40" s="380"/>
      <c r="H40" s="380"/>
      <c r="I40" s="380"/>
      <c r="J40" s="378"/>
      <c r="K40" s="378"/>
      <c r="L40" s="630" t="s">
        <v>655</v>
      </c>
      <c r="M40" s="1442">
        <v>1</v>
      </c>
      <c r="N40" s="1439" t="s">
        <v>256</v>
      </c>
      <c r="O40" s="1440">
        <v>300000</v>
      </c>
      <c r="P40" s="1338">
        <f>O40*M40</f>
        <v>300000</v>
      </c>
      <c r="Q40" s="1441"/>
    </row>
    <row r="41" spans="2:21" ht="12.95" customHeight="1" x14ac:dyDescent="0.2">
      <c r="B41" s="377"/>
      <c r="C41" s="378"/>
      <c r="D41" s="378"/>
      <c r="E41" s="379"/>
      <c r="F41" s="379"/>
      <c r="G41" s="380"/>
      <c r="H41" s="380"/>
      <c r="I41" s="380"/>
      <c r="J41" s="378"/>
      <c r="K41" s="380"/>
      <c r="L41" s="631" t="s">
        <v>654</v>
      </c>
      <c r="M41" s="1442">
        <v>1</v>
      </c>
      <c r="N41" s="1439" t="s">
        <v>256</v>
      </c>
      <c r="O41" s="1440">
        <v>300000</v>
      </c>
      <c r="P41" s="1338">
        <f>O41*M41</f>
        <v>300000</v>
      </c>
      <c r="Q41" s="1441"/>
    </row>
    <row r="42" spans="2:21" ht="12.95" customHeight="1" x14ac:dyDescent="0.2">
      <c r="B42" s="377"/>
      <c r="C42" s="378"/>
      <c r="D42" s="378"/>
      <c r="E42" s="379"/>
      <c r="F42" s="379"/>
      <c r="G42" s="380"/>
      <c r="H42" s="380"/>
      <c r="I42" s="380"/>
      <c r="J42" s="378"/>
      <c r="K42" s="378"/>
      <c r="L42" s="555" t="s">
        <v>653</v>
      </c>
      <c r="M42" s="1613">
        <v>2</v>
      </c>
      <c r="N42" s="1614" t="s">
        <v>256</v>
      </c>
      <c r="O42" s="1615">
        <v>100000</v>
      </c>
      <c r="P42" s="1616">
        <f>O42*M42</f>
        <v>200000</v>
      </c>
      <c r="Q42" s="1441"/>
    </row>
    <row r="43" spans="2:21" ht="12.95" customHeight="1" x14ac:dyDescent="0.2">
      <c r="B43" s="528"/>
      <c r="C43" s="529"/>
      <c r="D43" s="529"/>
      <c r="E43" s="530"/>
      <c r="F43" s="529"/>
      <c r="G43" s="531"/>
      <c r="H43" s="531"/>
      <c r="I43" s="531"/>
      <c r="J43" s="529"/>
      <c r="K43" s="529"/>
      <c r="L43" s="536"/>
      <c r="M43" s="1383"/>
      <c r="N43" s="1360"/>
      <c r="O43" s="1359"/>
      <c r="P43" s="1361"/>
      <c r="Q43" s="1436"/>
    </row>
    <row r="44" spans="2:21" ht="12.95" customHeight="1" x14ac:dyDescent="0.2">
      <c r="B44" s="528">
        <v>1</v>
      </c>
      <c r="C44" s="529" t="s">
        <v>440</v>
      </c>
      <c r="D44" s="529" t="s">
        <v>142</v>
      </c>
      <c r="E44" s="530">
        <v>18</v>
      </c>
      <c r="F44" s="530" t="s">
        <v>142</v>
      </c>
      <c r="G44" s="531">
        <v>5</v>
      </c>
      <c r="H44" s="531">
        <v>2</v>
      </c>
      <c r="I44" s="531">
        <v>2</v>
      </c>
      <c r="J44" s="531"/>
      <c r="K44" s="531"/>
      <c r="L44" s="540" t="s">
        <v>120</v>
      </c>
      <c r="M44" s="1443"/>
      <c r="N44" s="1360"/>
      <c r="O44" s="1360"/>
      <c r="P44" s="1444">
        <f>P45+P55+P75+P81+P91+P87</f>
        <v>606123500</v>
      </c>
      <c r="Q44" s="1445"/>
      <c r="R44" s="1223"/>
      <c r="S44" s="1446"/>
      <c r="U44" s="1278"/>
    </row>
    <row r="45" spans="2:21" ht="12.95" customHeight="1" x14ac:dyDescent="0.2">
      <c r="B45" s="528">
        <v>1</v>
      </c>
      <c r="C45" s="529" t="s">
        <v>440</v>
      </c>
      <c r="D45" s="529" t="s">
        <v>142</v>
      </c>
      <c r="E45" s="530">
        <v>18</v>
      </c>
      <c r="F45" s="530" t="s">
        <v>142</v>
      </c>
      <c r="G45" s="531">
        <v>5</v>
      </c>
      <c r="H45" s="531">
        <v>2</v>
      </c>
      <c r="I45" s="531">
        <v>2</v>
      </c>
      <c r="J45" s="529" t="s">
        <v>142</v>
      </c>
      <c r="K45" s="531"/>
      <c r="L45" s="541" t="s">
        <v>109</v>
      </c>
      <c r="M45" s="1443"/>
      <c r="N45" s="1447"/>
      <c r="O45" s="1447"/>
      <c r="P45" s="1444">
        <f>P46</f>
        <v>4319000</v>
      </c>
      <c r="Q45" s="1445"/>
    </row>
    <row r="46" spans="2:21" ht="12.95" customHeight="1" x14ac:dyDescent="0.2">
      <c r="B46" s="528">
        <v>1</v>
      </c>
      <c r="C46" s="529" t="s">
        <v>440</v>
      </c>
      <c r="D46" s="529" t="s">
        <v>142</v>
      </c>
      <c r="E46" s="530">
        <v>18</v>
      </c>
      <c r="F46" s="530" t="s">
        <v>142</v>
      </c>
      <c r="G46" s="531">
        <v>5</v>
      </c>
      <c r="H46" s="531">
        <v>2</v>
      </c>
      <c r="I46" s="531">
        <v>2</v>
      </c>
      <c r="J46" s="529" t="s">
        <v>142</v>
      </c>
      <c r="K46" s="529" t="s">
        <v>142</v>
      </c>
      <c r="L46" s="542" t="s">
        <v>127</v>
      </c>
      <c r="M46" s="1443"/>
      <c r="N46" s="1360"/>
      <c r="O46" s="1360"/>
      <c r="P46" s="1361">
        <f>SUM(P47:P53)+16500</f>
        <v>4319000</v>
      </c>
      <c r="Q46" s="1445"/>
      <c r="R46" s="1448"/>
      <c r="S46" s="1223"/>
    </row>
    <row r="47" spans="2:21" s="1451" customFormat="1" ht="12.95" customHeight="1" x14ac:dyDescent="0.2">
      <c r="B47" s="543"/>
      <c r="C47" s="544"/>
      <c r="D47" s="544"/>
      <c r="E47" s="545"/>
      <c r="F47" s="545"/>
      <c r="G47" s="546"/>
      <c r="H47" s="546"/>
      <c r="I47" s="546"/>
      <c r="J47" s="544"/>
      <c r="K47" s="544"/>
      <c r="L47" s="547" t="s">
        <v>955</v>
      </c>
      <c r="M47" s="1443">
        <v>1</v>
      </c>
      <c r="N47" s="1360" t="s">
        <v>148</v>
      </c>
      <c r="O47" s="1359">
        <v>42500</v>
      </c>
      <c r="P47" s="1361">
        <f t="shared" ref="P47:P52" si="0">O47*M47</f>
        <v>42500</v>
      </c>
      <c r="Q47" s="1436"/>
      <c r="R47" s="1449"/>
      <c r="S47" s="1450"/>
    </row>
    <row r="48" spans="2:21" s="1451" customFormat="1" ht="12.95" customHeight="1" x14ac:dyDescent="0.2">
      <c r="B48" s="543"/>
      <c r="C48" s="544"/>
      <c r="D48" s="544"/>
      <c r="E48" s="545"/>
      <c r="F48" s="544"/>
      <c r="G48" s="546"/>
      <c r="H48" s="546"/>
      <c r="I48" s="546"/>
      <c r="J48" s="546"/>
      <c r="K48" s="544"/>
      <c r="L48" s="547" t="s">
        <v>773</v>
      </c>
      <c r="M48" s="1617">
        <v>1</v>
      </c>
      <c r="N48" s="1360" t="s">
        <v>495</v>
      </c>
      <c r="O48" s="1359">
        <v>35000</v>
      </c>
      <c r="P48" s="1361">
        <f t="shared" si="0"/>
        <v>35000</v>
      </c>
      <c r="Q48" s="1436"/>
    </row>
    <row r="49" spans="2:26" ht="12.95" customHeight="1" x14ac:dyDescent="0.2">
      <c r="B49" s="528"/>
      <c r="C49" s="529"/>
      <c r="D49" s="529"/>
      <c r="E49" s="530"/>
      <c r="F49" s="529"/>
      <c r="G49" s="531"/>
      <c r="H49" s="531"/>
      <c r="I49" s="531"/>
      <c r="J49" s="531"/>
      <c r="K49" s="529"/>
      <c r="L49" s="629" t="s">
        <v>788</v>
      </c>
      <c r="M49" s="1452">
        <v>1</v>
      </c>
      <c r="N49" s="1618" t="s">
        <v>116</v>
      </c>
      <c r="O49" s="1362">
        <v>170000</v>
      </c>
      <c r="P49" s="1619">
        <f t="shared" si="0"/>
        <v>170000</v>
      </c>
      <c r="Q49" s="1453"/>
      <c r="R49" s="1223"/>
    </row>
    <row r="50" spans="2:26" ht="12.95" customHeight="1" x14ac:dyDescent="0.2">
      <c r="B50" s="528"/>
      <c r="C50" s="529"/>
      <c r="D50" s="529"/>
      <c r="E50" s="530"/>
      <c r="F50" s="529"/>
      <c r="G50" s="531"/>
      <c r="H50" s="531"/>
      <c r="I50" s="531"/>
      <c r="J50" s="531"/>
      <c r="K50" s="529"/>
      <c r="L50" s="548" t="s">
        <v>581</v>
      </c>
      <c r="M50" s="1452">
        <v>1</v>
      </c>
      <c r="N50" s="1618" t="s">
        <v>582</v>
      </c>
      <c r="O50" s="1362">
        <v>105000</v>
      </c>
      <c r="P50" s="1619">
        <f t="shared" si="0"/>
        <v>105000</v>
      </c>
      <c r="Q50" s="1453"/>
      <c r="R50" s="1223"/>
    </row>
    <row r="51" spans="2:26" ht="12.95" customHeight="1" x14ac:dyDescent="0.2">
      <c r="B51" s="528"/>
      <c r="C51" s="529"/>
      <c r="D51" s="529"/>
      <c r="E51" s="530"/>
      <c r="F51" s="529"/>
      <c r="G51" s="531"/>
      <c r="H51" s="531"/>
      <c r="I51" s="531"/>
      <c r="J51" s="531"/>
      <c r="K51" s="529"/>
      <c r="L51" s="548" t="s">
        <v>774</v>
      </c>
      <c r="M51" s="1452">
        <v>1</v>
      </c>
      <c r="N51" s="1618" t="s">
        <v>582</v>
      </c>
      <c r="O51" s="1362">
        <v>82000</v>
      </c>
      <c r="P51" s="1619">
        <f t="shared" si="0"/>
        <v>82000</v>
      </c>
      <c r="Q51" s="1453"/>
      <c r="R51" s="1223"/>
    </row>
    <row r="52" spans="2:26" ht="12.95" customHeight="1" x14ac:dyDescent="0.2">
      <c r="B52" s="528"/>
      <c r="C52" s="529"/>
      <c r="D52" s="529"/>
      <c r="E52" s="530"/>
      <c r="F52" s="529"/>
      <c r="G52" s="531"/>
      <c r="H52" s="531"/>
      <c r="I52" s="531"/>
      <c r="J52" s="531"/>
      <c r="K52" s="529"/>
      <c r="L52" s="548" t="s">
        <v>1170</v>
      </c>
      <c r="M52" s="1452">
        <v>1</v>
      </c>
      <c r="N52" s="1618" t="s">
        <v>580</v>
      </c>
      <c r="O52" s="1362">
        <v>28000</v>
      </c>
      <c r="P52" s="1619">
        <f t="shared" si="0"/>
        <v>28000</v>
      </c>
      <c r="Q52" s="1453"/>
      <c r="R52" s="1223"/>
    </row>
    <row r="53" spans="2:26" ht="12.95" customHeight="1" x14ac:dyDescent="0.2">
      <c r="B53" s="528"/>
      <c r="C53" s="529"/>
      <c r="D53" s="529"/>
      <c r="E53" s="530"/>
      <c r="F53" s="529"/>
      <c r="G53" s="531"/>
      <c r="H53" s="531"/>
      <c r="I53" s="531"/>
      <c r="J53" s="531"/>
      <c r="K53" s="529"/>
      <c r="L53" s="549" t="s">
        <v>775</v>
      </c>
      <c r="M53" s="1443">
        <v>48</v>
      </c>
      <c r="N53" s="1620" t="s">
        <v>495</v>
      </c>
      <c r="O53" s="1621">
        <v>80000</v>
      </c>
      <c r="P53" s="1622">
        <f>M53*O53</f>
        <v>3840000</v>
      </c>
      <c r="Q53" s="1454"/>
      <c r="R53" s="1223"/>
    </row>
    <row r="54" spans="2:26" ht="12.95" customHeight="1" x14ac:dyDescent="0.2">
      <c r="B54" s="528"/>
      <c r="C54" s="529"/>
      <c r="D54" s="529"/>
      <c r="E54" s="530"/>
      <c r="F54" s="529"/>
      <c r="G54" s="531"/>
      <c r="H54" s="531"/>
      <c r="I54" s="531"/>
      <c r="J54" s="531"/>
      <c r="K54" s="529"/>
      <c r="L54" s="578"/>
      <c r="M54" s="1452"/>
      <c r="N54" s="1455"/>
      <c r="O54" s="1364"/>
      <c r="P54" s="1456"/>
      <c r="Q54" s="1457"/>
    </row>
    <row r="55" spans="2:26" ht="12.95" customHeight="1" x14ac:dyDescent="0.2">
      <c r="B55" s="528">
        <v>1</v>
      </c>
      <c r="C55" s="529" t="s">
        <v>440</v>
      </c>
      <c r="D55" s="529" t="s">
        <v>142</v>
      </c>
      <c r="E55" s="530">
        <v>18</v>
      </c>
      <c r="F55" s="530" t="s">
        <v>142</v>
      </c>
      <c r="G55" s="531">
        <v>5</v>
      </c>
      <c r="H55" s="531">
        <v>2</v>
      </c>
      <c r="I55" s="531">
        <v>2</v>
      </c>
      <c r="J55" s="529" t="s">
        <v>164</v>
      </c>
      <c r="K55" s="531"/>
      <c r="L55" s="551" t="s">
        <v>112</v>
      </c>
      <c r="M55" s="1462"/>
      <c r="N55" s="1357"/>
      <c r="O55" s="1463"/>
      <c r="P55" s="1358">
        <f>P56+P68-20000</f>
        <v>449140000</v>
      </c>
      <c r="Q55" s="1431"/>
      <c r="U55" s="1289"/>
      <c r="V55" s="1290"/>
    </row>
    <row r="56" spans="2:26" ht="12.95" customHeight="1" x14ac:dyDescent="0.35">
      <c r="B56" s="1423">
        <v>1</v>
      </c>
      <c r="C56" s="1424" t="s">
        <v>440</v>
      </c>
      <c r="D56" s="1424" t="s">
        <v>142</v>
      </c>
      <c r="E56" s="1425">
        <v>18</v>
      </c>
      <c r="F56" s="1425" t="s">
        <v>142</v>
      </c>
      <c r="G56" s="1426">
        <v>5</v>
      </c>
      <c r="H56" s="1426">
        <v>2</v>
      </c>
      <c r="I56" s="1426">
        <v>2</v>
      </c>
      <c r="J56" s="1424" t="s">
        <v>164</v>
      </c>
      <c r="K56" s="1424">
        <v>12</v>
      </c>
      <c r="L56" s="1514" t="s">
        <v>240</v>
      </c>
      <c r="M56" s="1434"/>
      <c r="N56" s="1515"/>
      <c r="O56" s="1516"/>
      <c r="P56" s="1517">
        <f>SUM(P57+P63)</f>
        <v>449160000</v>
      </c>
      <c r="Q56" s="1461"/>
      <c r="R56" s="1464"/>
      <c r="S56" s="1465"/>
      <c r="T56" s="1465"/>
      <c r="U56" s="1289"/>
      <c r="V56" s="1290"/>
      <c r="X56" s="1466"/>
      <c r="Y56" s="1467"/>
      <c r="Z56" s="1223"/>
    </row>
    <row r="57" spans="2:26" ht="12.95" customHeight="1" x14ac:dyDescent="0.2">
      <c r="B57" s="528"/>
      <c r="C57" s="531"/>
      <c r="D57" s="531"/>
      <c r="E57" s="531"/>
      <c r="F57" s="531"/>
      <c r="G57" s="531"/>
      <c r="H57" s="531"/>
      <c r="I57" s="552"/>
      <c r="J57" s="552"/>
      <c r="K57" s="529"/>
      <c r="L57" s="553" t="s">
        <v>420</v>
      </c>
      <c r="M57" s="1443"/>
      <c r="N57" s="1360"/>
      <c r="O57" s="1468"/>
      <c r="P57" s="1361">
        <f>SUM(P58:P62)</f>
        <v>62760000</v>
      </c>
      <c r="Q57" s="1436"/>
      <c r="R57" s="1469"/>
      <c r="S57" s="408"/>
      <c r="T57" s="1470"/>
      <c r="U57" s="1471"/>
      <c r="V57" s="1472"/>
      <c r="W57" s="1473"/>
      <c r="X57" s="1436"/>
      <c r="Y57" s="1469"/>
      <c r="Z57" s="1308"/>
    </row>
    <row r="58" spans="2:26" ht="12.95" customHeight="1" x14ac:dyDescent="0.2">
      <c r="B58" s="528"/>
      <c r="C58" s="531"/>
      <c r="D58" s="531"/>
      <c r="E58" s="531"/>
      <c r="F58" s="531"/>
      <c r="G58" s="531"/>
      <c r="H58" s="531"/>
      <c r="I58" s="552"/>
      <c r="J58" s="552"/>
      <c r="K58" s="529"/>
      <c r="L58" s="553" t="s">
        <v>1172</v>
      </c>
      <c r="M58" s="1443">
        <v>296</v>
      </c>
      <c r="N58" s="1360" t="s">
        <v>111</v>
      </c>
      <c r="O58" s="1468">
        <v>45000</v>
      </c>
      <c r="P58" s="1361">
        <f>O58*M58</f>
        <v>13320000</v>
      </c>
      <c r="Q58" s="1436"/>
      <c r="R58" s="1308"/>
      <c r="S58" s="408"/>
      <c r="T58" s="1470"/>
      <c r="U58" s="1471"/>
      <c r="V58" s="1472"/>
      <c r="W58" s="1473"/>
      <c r="X58" s="1436"/>
      <c r="Y58" s="1308"/>
      <c r="Z58" s="1308"/>
    </row>
    <row r="59" spans="2:26" ht="12.95" customHeight="1" x14ac:dyDescent="0.2">
      <c r="B59" s="528"/>
      <c r="C59" s="531"/>
      <c r="D59" s="531"/>
      <c r="E59" s="531"/>
      <c r="F59" s="531"/>
      <c r="G59" s="531"/>
      <c r="H59" s="531"/>
      <c r="I59" s="552"/>
      <c r="J59" s="552"/>
      <c r="K59" s="529"/>
      <c r="L59" s="553" t="s">
        <v>1171</v>
      </c>
      <c r="M59" s="1443">
        <v>480</v>
      </c>
      <c r="N59" s="1360" t="s">
        <v>111</v>
      </c>
      <c r="O59" s="1468">
        <v>28000</v>
      </c>
      <c r="P59" s="1361">
        <f>O59*M59</f>
        <v>13440000</v>
      </c>
      <c r="Q59" s="1436"/>
      <c r="R59" s="1308"/>
      <c r="S59" s="408"/>
      <c r="T59" s="1470"/>
      <c r="U59" s="1471"/>
      <c r="V59" s="1472"/>
      <c r="W59" s="1473"/>
      <c r="X59" s="1436"/>
      <c r="Y59" s="1308"/>
      <c r="Z59" s="1308"/>
    </row>
    <row r="60" spans="2:26" ht="12.95" customHeight="1" x14ac:dyDescent="0.2">
      <c r="B60" s="528"/>
      <c r="C60" s="531"/>
      <c r="D60" s="531"/>
      <c r="E60" s="531"/>
      <c r="F60" s="531"/>
      <c r="G60" s="531"/>
      <c r="H60" s="531"/>
      <c r="I60" s="552"/>
      <c r="J60" s="552"/>
      <c r="K60" s="529"/>
      <c r="L60" s="553" t="s">
        <v>927</v>
      </c>
      <c r="M60" s="1443">
        <v>1</v>
      </c>
      <c r="N60" s="1360" t="s">
        <v>580</v>
      </c>
      <c r="O60" s="1468">
        <v>6500000</v>
      </c>
      <c r="P60" s="1361">
        <f>O60*M60</f>
        <v>6500000</v>
      </c>
      <c r="Q60" s="1436"/>
      <c r="R60" s="1308"/>
      <c r="S60" s="408"/>
      <c r="T60" s="1470"/>
      <c r="U60" s="1471"/>
      <c r="V60" s="1472"/>
      <c r="W60" s="1473"/>
      <c r="X60" s="1436"/>
      <c r="Y60" s="1308"/>
      <c r="Z60" s="1308"/>
    </row>
    <row r="61" spans="2:26" ht="12.95" customHeight="1" x14ac:dyDescent="0.2">
      <c r="B61" s="528"/>
      <c r="C61" s="531"/>
      <c r="D61" s="531"/>
      <c r="E61" s="531"/>
      <c r="F61" s="531"/>
      <c r="G61" s="531"/>
      <c r="H61" s="531"/>
      <c r="I61" s="552"/>
      <c r="J61" s="552"/>
      <c r="K61" s="529"/>
      <c r="L61" s="553" t="s">
        <v>1174</v>
      </c>
      <c r="M61" s="1443">
        <v>500</v>
      </c>
      <c r="N61" s="1360" t="s">
        <v>111</v>
      </c>
      <c r="O61" s="1468">
        <v>45000</v>
      </c>
      <c r="P61" s="1361">
        <f>O61*M61</f>
        <v>22500000</v>
      </c>
      <c r="Q61" s="1436"/>
      <c r="R61" s="1308"/>
      <c r="S61" s="404"/>
      <c r="T61" s="1188"/>
      <c r="U61" s="1187"/>
      <c r="V61" s="1187"/>
      <c r="W61" s="1188"/>
      <c r="X61" s="1474"/>
      <c r="Y61" s="1308"/>
      <c r="Z61" s="1308"/>
    </row>
    <row r="62" spans="2:26" ht="12.95" customHeight="1" x14ac:dyDescent="0.2">
      <c r="B62" s="528"/>
      <c r="C62" s="531"/>
      <c r="D62" s="531"/>
      <c r="E62" s="531"/>
      <c r="F62" s="531"/>
      <c r="G62" s="531"/>
      <c r="H62" s="531"/>
      <c r="I62" s="552"/>
      <c r="J62" s="552"/>
      <c r="K62" s="529"/>
      <c r="L62" s="553" t="s">
        <v>1173</v>
      </c>
      <c r="M62" s="1443">
        <v>125</v>
      </c>
      <c r="N62" s="1360" t="s">
        <v>429</v>
      </c>
      <c r="O62" s="1468">
        <v>56000</v>
      </c>
      <c r="P62" s="1361">
        <f>O62*M62</f>
        <v>7000000</v>
      </c>
      <c r="Q62" s="1436"/>
      <c r="R62" s="1308"/>
      <c r="S62" s="404"/>
      <c r="T62" s="1188"/>
      <c r="U62" s="1187"/>
      <c r="V62" s="1187"/>
      <c r="W62" s="1188"/>
      <c r="X62" s="1474"/>
      <c r="Y62" s="1308"/>
      <c r="Z62" s="1308"/>
    </row>
    <row r="63" spans="2:26" ht="12.95" customHeight="1" x14ac:dyDescent="0.2">
      <c r="B63" s="528"/>
      <c r="C63" s="531"/>
      <c r="D63" s="531"/>
      <c r="E63" s="531"/>
      <c r="F63" s="531"/>
      <c r="G63" s="531"/>
      <c r="H63" s="531"/>
      <c r="I63" s="552"/>
      <c r="J63" s="552"/>
      <c r="K63" s="529"/>
      <c r="L63" s="553" t="s">
        <v>421</v>
      </c>
      <c r="M63" s="1443"/>
      <c r="N63" s="1360"/>
      <c r="O63" s="1468"/>
      <c r="P63" s="1361">
        <f>SUM(P64:P66)</f>
        <v>386400000</v>
      </c>
      <c r="Q63" s="1436"/>
      <c r="R63" s="1469"/>
      <c r="S63" s="408"/>
      <c r="T63" s="1470"/>
      <c r="U63" s="1471"/>
      <c r="V63" s="1472"/>
      <c r="W63" s="1473"/>
      <c r="X63" s="1436"/>
      <c r="Y63" s="1308"/>
      <c r="Z63" s="1308"/>
    </row>
    <row r="64" spans="2:26" ht="12.95" customHeight="1" x14ac:dyDescent="0.2">
      <c r="B64" s="528"/>
      <c r="C64" s="531"/>
      <c r="D64" s="531"/>
      <c r="E64" s="531"/>
      <c r="F64" s="531"/>
      <c r="G64" s="531"/>
      <c r="H64" s="531"/>
      <c r="I64" s="552"/>
      <c r="J64" s="552"/>
      <c r="K64" s="529"/>
      <c r="L64" s="553" t="s">
        <v>531</v>
      </c>
      <c r="M64" s="1443">
        <v>1</v>
      </c>
      <c r="N64" s="1360" t="s">
        <v>3</v>
      </c>
      <c r="O64" s="1468">
        <v>2400000</v>
      </c>
      <c r="P64" s="1361">
        <f>O64*M64</f>
        <v>2400000</v>
      </c>
      <c r="Q64" s="1436"/>
    </row>
    <row r="65" spans="2:22" ht="12.95" customHeight="1" x14ac:dyDescent="0.2">
      <c r="B65" s="528"/>
      <c r="C65" s="531"/>
      <c r="D65" s="531"/>
      <c r="E65" s="531"/>
      <c r="F65" s="531"/>
      <c r="G65" s="531"/>
      <c r="H65" s="531"/>
      <c r="I65" s="552"/>
      <c r="J65" s="552"/>
      <c r="K65" s="529"/>
      <c r="L65" s="553" t="s">
        <v>826</v>
      </c>
      <c r="M65" s="1443">
        <v>1</v>
      </c>
      <c r="N65" s="1360" t="s">
        <v>3</v>
      </c>
      <c r="O65" s="1468">
        <v>24000000</v>
      </c>
      <c r="P65" s="1361">
        <f>O65*M65</f>
        <v>24000000</v>
      </c>
      <c r="Q65" s="1436"/>
      <c r="U65" s="1476"/>
      <c r="V65" s="1476"/>
    </row>
    <row r="66" spans="2:22" ht="26.1" customHeight="1" x14ac:dyDescent="0.2">
      <c r="B66" s="528"/>
      <c r="C66" s="531"/>
      <c r="D66" s="531"/>
      <c r="E66" s="531"/>
      <c r="F66" s="531"/>
      <c r="G66" s="531"/>
      <c r="H66" s="531"/>
      <c r="I66" s="552"/>
      <c r="J66" s="552"/>
      <c r="K66" s="529"/>
      <c r="L66" s="553" t="s">
        <v>621</v>
      </c>
      <c r="M66" s="1443">
        <f>10*12</f>
        <v>120</v>
      </c>
      <c r="N66" s="1363" t="s">
        <v>167</v>
      </c>
      <c r="O66" s="1477">
        <v>3000000</v>
      </c>
      <c r="P66" s="1365">
        <f>O66*M66</f>
        <v>360000000</v>
      </c>
      <c r="Q66" s="1436"/>
      <c r="R66" s="2848" t="s">
        <v>622</v>
      </c>
      <c r="S66" s="2848"/>
      <c r="U66" s="1476"/>
      <c r="V66" s="1476"/>
    </row>
    <row r="67" spans="2:22" ht="12.95" customHeight="1" x14ac:dyDescent="0.2">
      <c r="B67" s="528"/>
      <c r="C67" s="531"/>
      <c r="D67" s="531"/>
      <c r="E67" s="531"/>
      <c r="F67" s="531"/>
      <c r="G67" s="531"/>
      <c r="H67" s="531"/>
      <c r="I67" s="552"/>
      <c r="J67" s="552"/>
      <c r="K67" s="529"/>
      <c r="L67" s="554"/>
      <c r="M67" s="1385"/>
      <c r="N67" s="1326"/>
      <c r="O67" s="577"/>
      <c r="P67" s="1336"/>
      <c r="Q67" s="1188"/>
    </row>
    <row r="68" spans="2:22" ht="12.95" customHeight="1" x14ac:dyDescent="0.2">
      <c r="B68" s="377">
        <v>1</v>
      </c>
      <c r="C68" s="529" t="s">
        <v>440</v>
      </c>
      <c r="D68" s="378" t="s">
        <v>142</v>
      </c>
      <c r="E68" s="379">
        <v>18</v>
      </c>
      <c r="F68" s="379" t="s">
        <v>142</v>
      </c>
      <c r="G68" s="380">
        <v>5</v>
      </c>
      <c r="H68" s="380">
        <v>2</v>
      </c>
      <c r="I68" s="380">
        <v>2</v>
      </c>
      <c r="J68" s="378" t="s">
        <v>164</v>
      </c>
      <c r="K68" s="378">
        <v>27</v>
      </c>
      <c r="L68" s="1623" t="s">
        <v>373</v>
      </c>
      <c r="M68" s="1624"/>
      <c r="N68" s="1620"/>
      <c r="O68" s="1620"/>
      <c r="P68" s="1625">
        <f>SUM(P69)</f>
        <v>0</v>
      </c>
      <c r="Q68" s="1437"/>
    </row>
    <row r="69" spans="2:22" ht="12.95" customHeight="1" x14ac:dyDescent="0.2">
      <c r="B69" s="377"/>
      <c r="C69" s="529"/>
      <c r="D69" s="378"/>
      <c r="E69" s="379"/>
      <c r="F69" s="379"/>
      <c r="G69" s="380"/>
      <c r="H69" s="380"/>
      <c r="I69" s="380"/>
      <c r="J69" s="378"/>
      <c r="K69" s="378"/>
      <c r="L69" s="1623" t="s">
        <v>928</v>
      </c>
      <c r="M69" s="1624"/>
      <c r="N69" s="1620"/>
      <c r="O69" s="1620"/>
      <c r="P69" s="1625">
        <f>SUM(P70:P73)</f>
        <v>0</v>
      </c>
      <c r="Q69" s="1437"/>
    </row>
    <row r="70" spans="2:22" ht="25.5" customHeight="1" x14ac:dyDescent="0.2">
      <c r="B70" s="377"/>
      <c r="C70" s="378"/>
      <c r="D70" s="378"/>
      <c r="E70" s="379"/>
      <c r="F70" s="378"/>
      <c r="G70" s="380"/>
      <c r="H70" s="380"/>
      <c r="I70" s="380"/>
      <c r="J70" s="378"/>
      <c r="K70" s="378"/>
      <c r="L70" s="1626" t="s">
        <v>930</v>
      </c>
      <c r="M70" s="1613">
        <v>0</v>
      </c>
      <c r="N70" s="1609" t="s">
        <v>575</v>
      </c>
      <c r="O70" s="1627">
        <v>300000</v>
      </c>
      <c r="P70" s="1628">
        <f>O70*M70</f>
        <v>0</v>
      </c>
      <c r="Q70" s="1437"/>
      <c r="S70" s="1223"/>
    </row>
    <row r="71" spans="2:22" ht="28.5" customHeight="1" x14ac:dyDescent="0.2">
      <c r="B71" s="377"/>
      <c r="C71" s="378"/>
      <c r="D71" s="378"/>
      <c r="E71" s="379"/>
      <c r="F71" s="378"/>
      <c r="G71" s="380"/>
      <c r="H71" s="380"/>
      <c r="I71" s="380"/>
      <c r="J71" s="378"/>
      <c r="K71" s="378"/>
      <c r="L71" s="1626" t="s">
        <v>929</v>
      </c>
      <c r="M71" s="1613">
        <v>0</v>
      </c>
      <c r="N71" s="1609" t="s">
        <v>575</v>
      </c>
      <c r="O71" s="1627">
        <v>250000</v>
      </c>
      <c r="P71" s="1628">
        <f>O71*M71</f>
        <v>0</v>
      </c>
      <c r="Q71" s="1437"/>
    </row>
    <row r="72" spans="2:22" ht="12.95" customHeight="1" x14ac:dyDescent="0.2">
      <c r="B72" s="528"/>
      <c r="C72" s="531"/>
      <c r="D72" s="531"/>
      <c r="E72" s="531"/>
      <c r="F72" s="531"/>
      <c r="G72" s="531"/>
      <c r="H72" s="531"/>
      <c r="I72" s="552"/>
      <c r="J72" s="552"/>
      <c r="K72" s="529"/>
      <c r="L72" s="1626" t="s">
        <v>828</v>
      </c>
      <c r="M72" s="1613">
        <v>0</v>
      </c>
      <c r="N72" s="1620" t="s">
        <v>575</v>
      </c>
      <c r="O72" s="1621">
        <v>35000</v>
      </c>
      <c r="P72" s="1625">
        <f>O72*M72</f>
        <v>0</v>
      </c>
      <c r="Q72" s="1437"/>
    </row>
    <row r="73" spans="2:22" ht="14.1" customHeight="1" x14ac:dyDescent="0.2">
      <c r="B73" s="528"/>
      <c r="C73" s="531"/>
      <c r="D73" s="531"/>
      <c r="E73" s="531"/>
      <c r="F73" s="531"/>
      <c r="G73" s="531"/>
      <c r="H73" s="531"/>
      <c r="I73" s="552"/>
      <c r="J73" s="552"/>
      <c r="K73" s="529"/>
      <c r="L73" s="1626" t="s">
        <v>827</v>
      </c>
      <c r="M73" s="1613">
        <v>0</v>
      </c>
      <c r="N73" s="1609" t="s">
        <v>575</v>
      </c>
      <c r="O73" s="1627">
        <v>30000</v>
      </c>
      <c r="P73" s="1628">
        <f>O73*M73</f>
        <v>0</v>
      </c>
      <c r="Q73" s="1437"/>
    </row>
    <row r="74" spans="2:22" ht="12.95" customHeight="1" x14ac:dyDescent="0.2">
      <c r="B74" s="528"/>
      <c r="C74" s="531"/>
      <c r="D74" s="531"/>
      <c r="E74" s="531"/>
      <c r="F74" s="531"/>
      <c r="G74" s="531"/>
      <c r="H74" s="531"/>
      <c r="I74" s="552"/>
      <c r="J74" s="552"/>
      <c r="K74" s="529"/>
      <c r="L74" s="556"/>
      <c r="M74" s="1442"/>
      <c r="N74" s="1328"/>
      <c r="O74" s="1333"/>
      <c r="P74" s="1332"/>
      <c r="Q74" s="1437"/>
    </row>
    <row r="75" spans="2:22" ht="12.95" customHeight="1" x14ac:dyDescent="0.2">
      <c r="B75" s="528">
        <v>1</v>
      </c>
      <c r="C75" s="529" t="s">
        <v>440</v>
      </c>
      <c r="D75" s="529" t="s">
        <v>142</v>
      </c>
      <c r="E75" s="530">
        <v>18</v>
      </c>
      <c r="F75" s="530" t="s">
        <v>142</v>
      </c>
      <c r="G75" s="531">
        <v>5</v>
      </c>
      <c r="H75" s="531">
        <v>2</v>
      </c>
      <c r="I75" s="531">
        <v>2</v>
      </c>
      <c r="J75" s="529" t="s">
        <v>144</v>
      </c>
      <c r="K75" s="531"/>
      <c r="L75" s="541" t="s">
        <v>115</v>
      </c>
      <c r="M75" s="1443"/>
      <c r="N75" s="1447"/>
      <c r="O75" s="1447"/>
      <c r="P75" s="1444">
        <f>P76+P78</f>
        <v>1067000</v>
      </c>
      <c r="Q75" s="1445"/>
    </row>
    <row r="76" spans="2:22" ht="12.95" customHeight="1" x14ac:dyDescent="0.2">
      <c r="B76" s="377">
        <v>1</v>
      </c>
      <c r="C76" s="378" t="s">
        <v>440</v>
      </c>
      <c r="D76" s="378" t="s">
        <v>142</v>
      </c>
      <c r="E76" s="379">
        <v>18</v>
      </c>
      <c r="F76" s="379" t="s">
        <v>145</v>
      </c>
      <c r="G76" s="380">
        <v>5</v>
      </c>
      <c r="H76" s="380">
        <v>2</v>
      </c>
      <c r="I76" s="380">
        <v>2</v>
      </c>
      <c r="J76" s="378" t="s">
        <v>144</v>
      </c>
      <c r="K76" s="378" t="s">
        <v>142</v>
      </c>
      <c r="L76" s="550" t="s">
        <v>133</v>
      </c>
      <c r="M76" s="1346"/>
      <c r="N76" s="1328"/>
      <c r="O76" s="1328"/>
      <c r="P76" s="1332">
        <f>SUM(P77:P77)</f>
        <v>192000</v>
      </c>
      <c r="Q76" s="1437"/>
    </row>
    <row r="77" spans="2:22" ht="12.95" customHeight="1" x14ac:dyDescent="0.2">
      <c r="B77" s="377"/>
      <c r="C77" s="378"/>
      <c r="D77" s="378"/>
      <c r="E77" s="379"/>
      <c r="F77" s="378"/>
      <c r="G77" s="380"/>
      <c r="H77" s="380"/>
      <c r="I77" s="380"/>
      <c r="J77" s="380"/>
      <c r="K77" s="378"/>
      <c r="L77" s="557" t="s">
        <v>1175</v>
      </c>
      <c r="M77" s="1458">
        <v>3</v>
      </c>
      <c r="N77" s="1601" t="s">
        <v>348</v>
      </c>
      <c r="O77" s="1602">
        <v>64000</v>
      </c>
      <c r="P77" s="1629">
        <f>O77*M77</f>
        <v>192000</v>
      </c>
      <c r="Q77" s="1188"/>
    </row>
    <row r="78" spans="2:22" ht="12.95" customHeight="1" x14ac:dyDescent="0.2">
      <c r="B78" s="528">
        <v>1</v>
      </c>
      <c r="C78" s="529" t="s">
        <v>440</v>
      </c>
      <c r="D78" s="529" t="s">
        <v>142</v>
      </c>
      <c r="E78" s="530">
        <v>18</v>
      </c>
      <c r="F78" s="530" t="s">
        <v>142</v>
      </c>
      <c r="G78" s="531">
        <v>5</v>
      </c>
      <c r="H78" s="531">
        <v>2</v>
      </c>
      <c r="I78" s="531">
        <v>2</v>
      </c>
      <c r="J78" s="529" t="s">
        <v>144</v>
      </c>
      <c r="K78" s="529" t="s">
        <v>145</v>
      </c>
      <c r="L78" s="558" t="s">
        <v>121</v>
      </c>
      <c r="M78" s="1443"/>
      <c r="N78" s="1360"/>
      <c r="O78" s="1360"/>
      <c r="P78" s="1361">
        <f>SUM(P79:P79)</f>
        <v>875000</v>
      </c>
      <c r="Q78" s="1436"/>
      <c r="R78" s="1478" t="s">
        <v>623</v>
      </c>
      <c r="S78" s="1478">
        <v>45</v>
      </c>
      <c r="T78" s="1478" t="s">
        <v>624</v>
      </c>
    </row>
    <row r="79" spans="2:22" ht="12.95" customHeight="1" x14ac:dyDescent="0.2">
      <c r="B79" s="528"/>
      <c r="C79" s="529"/>
      <c r="D79" s="529"/>
      <c r="E79" s="530"/>
      <c r="F79" s="529"/>
      <c r="G79" s="531"/>
      <c r="H79" s="531"/>
      <c r="I79" s="531"/>
      <c r="J79" s="531"/>
      <c r="K79" s="529"/>
      <c r="L79" s="1630" t="s">
        <v>662</v>
      </c>
      <c r="M79" s="1458">
        <v>2500</v>
      </c>
      <c r="N79" s="1435" t="s">
        <v>113</v>
      </c>
      <c r="O79" s="1459">
        <v>350</v>
      </c>
      <c r="P79" s="1460">
        <f>O79*M79</f>
        <v>875000</v>
      </c>
      <c r="Q79" s="1461"/>
      <c r="R79" s="1478" t="s">
        <v>625</v>
      </c>
      <c r="S79" s="1478">
        <v>45</v>
      </c>
      <c r="T79" s="1478" t="s">
        <v>624</v>
      </c>
    </row>
    <row r="80" spans="2:22" ht="12.95" customHeight="1" x14ac:dyDescent="0.2">
      <c r="B80" s="528"/>
      <c r="C80" s="531"/>
      <c r="D80" s="531"/>
      <c r="E80" s="531"/>
      <c r="F80" s="531"/>
      <c r="G80" s="531"/>
      <c r="H80" s="531"/>
      <c r="I80" s="552"/>
      <c r="J80" s="552"/>
      <c r="K80" s="529"/>
      <c r="L80" s="559"/>
      <c r="M80" s="1475"/>
      <c r="N80" s="1326"/>
      <c r="O80" s="577"/>
      <c r="P80" s="1479"/>
      <c r="Q80" s="1474"/>
      <c r="R80" s="1478" t="s">
        <v>626</v>
      </c>
      <c r="S80" s="1478">
        <v>1</v>
      </c>
      <c r="T80" s="1478" t="s">
        <v>624</v>
      </c>
    </row>
    <row r="81" spans="2:24" ht="12.95" customHeight="1" x14ac:dyDescent="0.2">
      <c r="B81" s="377">
        <v>1</v>
      </c>
      <c r="C81" s="529" t="s">
        <v>440</v>
      </c>
      <c r="D81" s="378" t="s">
        <v>142</v>
      </c>
      <c r="E81" s="379">
        <v>18</v>
      </c>
      <c r="F81" s="379" t="s">
        <v>142</v>
      </c>
      <c r="G81" s="380">
        <v>5</v>
      </c>
      <c r="H81" s="380">
        <v>2</v>
      </c>
      <c r="I81" s="380">
        <v>2</v>
      </c>
      <c r="J81" s="378">
        <v>11</v>
      </c>
      <c r="K81" s="380"/>
      <c r="L81" s="560" t="s">
        <v>295</v>
      </c>
      <c r="M81" s="1346"/>
      <c r="N81" s="1335"/>
      <c r="O81" s="1335"/>
      <c r="P81" s="1334">
        <f>P82</f>
        <v>1597500</v>
      </c>
      <c r="Q81" s="1480"/>
      <c r="R81" s="1478" t="s">
        <v>627</v>
      </c>
      <c r="S81" s="1465">
        <v>1</v>
      </c>
      <c r="T81" s="1478" t="s">
        <v>624</v>
      </c>
      <c r="U81" s="1187"/>
      <c r="V81" s="1187"/>
      <c r="W81" s="1187"/>
      <c r="X81" s="301"/>
    </row>
    <row r="82" spans="2:24" ht="12.95" customHeight="1" x14ac:dyDescent="0.2">
      <c r="B82" s="377">
        <v>1</v>
      </c>
      <c r="C82" s="529" t="s">
        <v>440</v>
      </c>
      <c r="D82" s="378" t="s">
        <v>142</v>
      </c>
      <c r="E82" s="379">
        <v>18</v>
      </c>
      <c r="F82" s="379" t="s">
        <v>142</v>
      </c>
      <c r="G82" s="380">
        <v>5</v>
      </c>
      <c r="H82" s="380">
        <v>2</v>
      </c>
      <c r="I82" s="380">
        <v>2</v>
      </c>
      <c r="J82" s="378">
        <v>11</v>
      </c>
      <c r="K82" s="378" t="s">
        <v>168</v>
      </c>
      <c r="L82" s="561" t="s">
        <v>296</v>
      </c>
      <c r="M82" s="1346"/>
      <c r="N82" s="1328"/>
      <c r="O82" s="1328"/>
      <c r="P82" s="1332">
        <f>SUM(P83:P85)</f>
        <v>1597500</v>
      </c>
      <c r="Q82" s="1437"/>
      <c r="R82" s="1478" t="s">
        <v>628</v>
      </c>
      <c r="S82" s="1465">
        <v>5</v>
      </c>
      <c r="T82" s="1478" t="s">
        <v>624</v>
      </c>
      <c r="U82" s="1187"/>
      <c r="V82" s="1187"/>
      <c r="W82" s="1187"/>
      <c r="X82" s="1188"/>
    </row>
    <row r="83" spans="2:24" ht="12.95" customHeight="1" x14ac:dyDescent="0.2">
      <c r="B83" s="377"/>
      <c r="C83" s="378"/>
      <c r="D83" s="378"/>
      <c r="E83" s="379"/>
      <c r="F83" s="379"/>
      <c r="G83" s="380"/>
      <c r="H83" s="380"/>
      <c r="I83" s="380"/>
      <c r="J83" s="378"/>
      <c r="K83" s="378"/>
      <c r="L83" s="1783" t="s">
        <v>1014</v>
      </c>
      <c r="M83" s="1385">
        <v>50</v>
      </c>
      <c r="N83" s="1326" t="s">
        <v>259</v>
      </c>
      <c r="O83" s="1373">
        <v>15000</v>
      </c>
      <c r="P83" s="1336">
        <f>O83*M83</f>
        <v>750000</v>
      </c>
      <c r="Q83" s="1188"/>
      <c r="R83" s="1478" t="s">
        <v>629</v>
      </c>
      <c r="S83" s="1465">
        <v>2</v>
      </c>
      <c r="T83" s="1478" t="s">
        <v>630</v>
      </c>
      <c r="U83" s="1187"/>
      <c r="V83" s="1187"/>
      <c r="W83" s="1188"/>
      <c r="X83" s="1188"/>
    </row>
    <row r="84" spans="2:24" ht="12.95" customHeight="1" x14ac:dyDescent="0.2">
      <c r="B84" s="377"/>
      <c r="C84" s="378"/>
      <c r="D84" s="378"/>
      <c r="E84" s="379"/>
      <c r="F84" s="378"/>
      <c r="G84" s="380"/>
      <c r="H84" s="380"/>
      <c r="I84" s="380"/>
      <c r="J84" s="380"/>
      <c r="K84" s="378"/>
      <c r="L84" s="1783" t="s">
        <v>1086</v>
      </c>
      <c r="M84" s="1385">
        <v>53</v>
      </c>
      <c r="N84" s="1326" t="s">
        <v>259</v>
      </c>
      <c r="O84" s="1373">
        <v>7500</v>
      </c>
      <c r="P84" s="1336">
        <f>O84*M84</f>
        <v>397500</v>
      </c>
      <c r="Q84" s="1188"/>
      <c r="R84" s="1465" t="s">
        <v>631</v>
      </c>
      <c r="S84" s="1465">
        <f>SUM(S78:S83)</f>
        <v>99</v>
      </c>
      <c r="T84" s="1481"/>
      <c r="U84" s="1481"/>
      <c r="V84" s="1482"/>
      <c r="W84" s="1308"/>
      <c r="X84" s="1308"/>
    </row>
    <row r="85" spans="2:24" ht="15" customHeight="1" x14ac:dyDescent="0.2">
      <c r="B85" s="377"/>
      <c r="C85" s="378"/>
      <c r="D85" s="378"/>
      <c r="E85" s="379"/>
      <c r="F85" s="378"/>
      <c r="G85" s="380"/>
      <c r="H85" s="380"/>
      <c r="I85" s="380"/>
      <c r="J85" s="380"/>
      <c r="K85" s="378"/>
      <c r="L85" s="1955" t="s">
        <v>1176</v>
      </c>
      <c r="M85" s="1385">
        <f>45+7+8</f>
        <v>60</v>
      </c>
      <c r="N85" s="1326" t="s">
        <v>259</v>
      </c>
      <c r="O85" s="1373">
        <v>7500</v>
      </c>
      <c r="P85" s="1336">
        <f>O85*M85</f>
        <v>450000</v>
      </c>
      <c r="Q85" s="1188"/>
      <c r="U85" s="1481"/>
      <c r="V85" s="1482"/>
      <c r="W85" s="1308"/>
      <c r="X85" s="1308"/>
    </row>
    <row r="86" spans="2:24" ht="12.95" customHeight="1" x14ac:dyDescent="0.2">
      <c r="B86" s="377"/>
      <c r="C86" s="378"/>
      <c r="D86" s="378"/>
      <c r="E86" s="379"/>
      <c r="F86" s="378"/>
      <c r="G86" s="380"/>
      <c r="H86" s="380"/>
      <c r="I86" s="380"/>
      <c r="J86" s="380"/>
      <c r="K86" s="378"/>
      <c r="L86" s="562"/>
      <c r="M86" s="1385"/>
      <c r="N86" s="1326"/>
      <c r="O86" s="1373"/>
      <c r="P86" s="1336"/>
      <c r="Q86" s="1188"/>
      <c r="U86" s="1481"/>
      <c r="V86" s="1482"/>
      <c r="W86" s="1308"/>
      <c r="X86" s="1308"/>
    </row>
    <row r="87" spans="2:24" ht="25.5" customHeight="1" x14ac:dyDescent="0.2">
      <c r="B87" s="565">
        <v>1</v>
      </c>
      <c r="C87" s="1424" t="s">
        <v>440</v>
      </c>
      <c r="D87" s="564" t="s">
        <v>142</v>
      </c>
      <c r="E87" s="617">
        <v>18</v>
      </c>
      <c r="F87" s="617" t="s">
        <v>142</v>
      </c>
      <c r="G87" s="563">
        <v>5</v>
      </c>
      <c r="H87" s="563">
        <v>2</v>
      </c>
      <c r="I87" s="563">
        <v>2</v>
      </c>
      <c r="J87" s="564">
        <v>22</v>
      </c>
      <c r="K87" s="563"/>
      <c r="L87" s="560" t="s">
        <v>1087</v>
      </c>
      <c r="M87" s="1346"/>
      <c r="N87" s="1335"/>
      <c r="O87" s="1335"/>
      <c r="P87" s="1956">
        <f>P88</f>
        <v>50000000</v>
      </c>
      <c r="Q87" s="1188"/>
      <c r="U87" s="1481"/>
      <c r="V87" s="1482"/>
      <c r="W87" s="1308"/>
      <c r="X87" s="1308"/>
    </row>
    <row r="88" spans="2:24" ht="25.5" customHeight="1" x14ac:dyDescent="0.2">
      <c r="B88" s="565">
        <v>1</v>
      </c>
      <c r="C88" s="1424" t="s">
        <v>440</v>
      </c>
      <c r="D88" s="564" t="s">
        <v>142</v>
      </c>
      <c r="E88" s="617">
        <v>18</v>
      </c>
      <c r="F88" s="617" t="s">
        <v>142</v>
      </c>
      <c r="G88" s="563">
        <v>5</v>
      </c>
      <c r="H88" s="563">
        <v>2</v>
      </c>
      <c r="I88" s="563">
        <v>2</v>
      </c>
      <c r="J88" s="564">
        <v>22</v>
      </c>
      <c r="K88" s="564" t="s">
        <v>142</v>
      </c>
      <c r="L88" s="561" t="s">
        <v>1087</v>
      </c>
      <c r="M88" s="1346"/>
      <c r="N88" s="1328"/>
      <c r="O88" s="1328"/>
      <c r="P88" s="1371">
        <f>SUM(P89)</f>
        <v>50000000</v>
      </c>
      <c r="Q88" s="1188"/>
      <c r="U88" s="1481"/>
      <c r="V88" s="1482"/>
      <c r="W88" s="1308"/>
      <c r="X88" s="1308"/>
    </row>
    <row r="89" spans="2:24" ht="12.95" customHeight="1" x14ac:dyDescent="0.2">
      <c r="B89" s="377"/>
      <c r="C89" s="378"/>
      <c r="D89" s="378"/>
      <c r="E89" s="379"/>
      <c r="F89" s="379"/>
      <c r="G89" s="380"/>
      <c r="H89" s="380"/>
      <c r="I89" s="380"/>
      <c r="J89" s="378"/>
      <c r="K89" s="378"/>
      <c r="L89" s="1783" t="s">
        <v>1088</v>
      </c>
      <c r="M89" s="1385">
        <v>1</v>
      </c>
      <c r="N89" s="1326" t="s">
        <v>1082</v>
      </c>
      <c r="O89" s="1373">
        <v>50000000</v>
      </c>
      <c r="P89" s="1336">
        <f>O89*M89</f>
        <v>50000000</v>
      </c>
      <c r="Q89" s="1188"/>
      <c r="U89" s="1481"/>
      <c r="V89" s="1482"/>
      <c r="W89" s="1308"/>
      <c r="X89" s="1308"/>
    </row>
    <row r="90" spans="2:24" ht="12.95" customHeight="1" x14ac:dyDescent="0.2">
      <c r="B90" s="377"/>
      <c r="C90" s="378"/>
      <c r="D90" s="378"/>
      <c r="E90" s="379"/>
      <c r="F90" s="378"/>
      <c r="G90" s="380"/>
      <c r="H90" s="380"/>
      <c r="I90" s="380"/>
      <c r="J90" s="380"/>
      <c r="K90" s="378"/>
      <c r="L90" s="562"/>
      <c r="M90" s="1385"/>
      <c r="N90" s="1326"/>
      <c r="O90" s="1373"/>
      <c r="P90" s="1336"/>
      <c r="Q90" s="1188"/>
      <c r="U90" s="1481"/>
      <c r="V90" s="1482"/>
      <c r="W90" s="1308"/>
      <c r="X90" s="1308"/>
    </row>
    <row r="91" spans="2:24" ht="26.45" customHeight="1" x14ac:dyDescent="0.2">
      <c r="B91" s="565">
        <v>1</v>
      </c>
      <c r="C91" s="1424" t="s">
        <v>440</v>
      </c>
      <c r="D91" s="564" t="s">
        <v>142</v>
      </c>
      <c r="E91" s="617">
        <v>18</v>
      </c>
      <c r="F91" s="617" t="s">
        <v>142</v>
      </c>
      <c r="G91" s="563">
        <v>5</v>
      </c>
      <c r="H91" s="563">
        <v>2</v>
      </c>
      <c r="I91" s="563">
        <v>2</v>
      </c>
      <c r="J91" s="564">
        <v>31</v>
      </c>
      <c r="K91" s="563"/>
      <c r="L91" s="560" t="s">
        <v>1177</v>
      </c>
      <c r="M91" s="1346"/>
      <c r="N91" s="1335"/>
      <c r="O91" s="1335"/>
      <c r="P91" s="1956">
        <f>P92</f>
        <v>100000000</v>
      </c>
      <c r="Q91" s="1188"/>
      <c r="U91" s="1481"/>
      <c r="V91" s="1482"/>
      <c r="W91" s="1308"/>
      <c r="X91" s="1308"/>
    </row>
    <row r="92" spans="2:24" ht="26.45" customHeight="1" x14ac:dyDescent="0.2">
      <c r="B92" s="565">
        <v>1</v>
      </c>
      <c r="C92" s="1424" t="s">
        <v>440</v>
      </c>
      <c r="D92" s="564" t="s">
        <v>142</v>
      </c>
      <c r="E92" s="617">
        <v>18</v>
      </c>
      <c r="F92" s="617" t="s">
        <v>142</v>
      </c>
      <c r="G92" s="563">
        <v>5</v>
      </c>
      <c r="H92" s="563">
        <v>2</v>
      </c>
      <c r="I92" s="563">
        <v>2</v>
      </c>
      <c r="J92" s="564">
        <v>31</v>
      </c>
      <c r="K92" s="564" t="s">
        <v>142</v>
      </c>
      <c r="L92" s="561" t="s">
        <v>1177</v>
      </c>
      <c r="M92" s="1346"/>
      <c r="N92" s="1328"/>
      <c r="O92" s="1328"/>
      <c r="P92" s="1371">
        <f>SUM(P93)</f>
        <v>100000000</v>
      </c>
      <c r="Q92" s="1188"/>
      <c r="U92" s="1481"/>
      <c r="V92" s="1482"/>
      <c r="W92" s="1308"/>
      <c r="X92" s="1308"/>
    </row>
    <row r="93" spans="2:24" ht="12.95" customHeight="1" x14ac:dyDescent="0.2">
      <c r="B93" s="377"/>
      <c r="C93" s="378"/>
      <c r="D93" s="378"/>
      <c r="E93" s="379"/>
      <c r="F93" s="379"/>
      <c r="G93" s="380"/>
      <c r="H93" s="380"/>
      <c r="I93" s="380"/>
      <c r="J93" s="378"/>
      <c r="K93" s="378"/>
      <c r="L93" s="1783" t="s">
        <v>1178</v>
      </c>
      <c r="M93" s="1385">
        <v>1</v>
      </c>
      <c r="N93" s="1326" t="s">
        <v>1082</v>
      </c>
      <c r="O93" s="1373">
        <v>100000000</v>
      </c>
      <c r="P93" s="1336">
        <f>O93*M93</f>
        <v>100000000</v>
      </c>
      <c r="Q93" s="1188"/>
      <c r="U93" s="1481"/>
      <c r="V93" s="1482"/>
      <c r="W93" s="1308"/>
      <c r="X93" s="1308"/>
    </row>
    <row r="94" spans="2:24" ht="12.95" customHeight="1" thickBot="1" x14ac:dyDescent="0.25">
      <c r="B94" s="566"/>
      <c r="C94" s="567"/>
      <c r="D94" s="567"/>
      <c r="E94" s="567"/>
      <c r="F94" s="567"/>
      <c r="G94" s="567"/>
      <c r="H94" s="567"/>
      <c r="I94" s="568"/>
      <c r="J94" s="568"/>
      <c r="K94" s="569"/>
      <c r="L94" s="570"/>
      <c r="M94" s="1484"/>
      <c r="N94" s="1485"/>
      <c r="O94" s="1486"/>
      <c r="P94" s="1389"/>
      <c r="Q94" s="1436"/>
      <c r="S94" s="1487" t="e">
        <f>SUM(#REF!)</f>
        <v>#REF!</v>
      </c>
      <c r="T94" s="1308"/>
      <c r="U94" s="1308"/>
      <c r="V94" s="1308"/>
      <c r="W94" s="1308"/>
      <c r="X94" s="1308"/>
    </row>
    <row r="95" spans="2:24" ht="12.95" customHeight="1" thickBot="1" x14ac:dyDescent="0.25">
      <c r="B95" s="110"/>
      <c r="C95" s="107"/>
      <c r="D95" s="107"/>
      <c r="E95" s="107"/>
      <c r="F95" s="107"/>
      <c r="G95" s="107"/>
      <c r="H95" s="107"/>
      <c r="I95" s="107"/>
      <c r="J95" s="107"/>
      <c r="K95" s="107"/>
      <c r="L95" s="107"/>
      <c r="M95" s="2620" t="s">
        <v>199</v>
      </c>
      <c r="N95" s="2620"/>
      <c r="O95" s="2621"/>
      <c r="P95" s="1491">
        <f>P29</f>
        <v>610473500</v>
      </c>
      <c r="Q95" s="1488"/>
      <c r="S95" s="1308"/>
      <c r="T95" s="1308"/>
      <c r="U95" s="1308"/>
      <c r="V95" s="1308"/>
      <c r="W95" s="1308"/>
      <c r="X95" s="1308"/>
    </row>
    <row r="96" spans="2:24" ht="12.95" customHeight="1" x14ac:dyDescent="0.2">
      <c r="B96" s="1211"/>
      <c r="C96" s="1212"/>
      <c r="D96" s="1212"/>
      <c r="E96" s="1212"/>
      <c r="F96" s="1212"/>
      <c r="G96" s="1212"/>
      <c r="H96" s="1212"/>
      <c r="I96" s="1212"/>
      <c r="J96" s="1212"/>
      <c r="K96" s="1212"/>
      <c r="L96" s="1212"/>
      <c r="M96" s="1212"/>
      <c r="N96" s="1212"/>
      <c r="O96" s="1212"/>
      <c r="P96" s="1213"/>
      <c r="Q96" s="1488"/>
      <c r="S96" s="1308"/>
      <c r="T96" s="1308"/>
      <c r="U96" s="1308"/>
      <c r="V96" s="1308"/>
      <c r="W96" s="1308"/>
      <c r="X96" s="1308"/>
    </row>
    <row r="97" spans="2:24" ht="12.95" customHeight="1" x14ac:dyDescent="0.2">
      <c r="B97" s="1294"/>
      <c r="C97" s="1295"/>
      <c r="D97" s="1295"/>
      <c r="E97" s="1295"/>
      <c r="F97" s="1295"/>
      <c r="G97" s="1295"/>
      <c r="H97" s="1295"/>
      <c r="I97" s="1295"/>
      <c r="J97" s="1295"/>
      <c r="K97" s="1295"/>
      <c r="L97" s="1296"/>
      <c r="M97" s="2694" t="str">
        <f>'RECAP APBD'!E43</f>
        <v>Banda Aceh,                   2020</v>
      </c>
      <c r="N97" s="2694"/>
      <c r="O97" s="2694"/>
      <c r="P97" s="2695"/>
      <c r="Q97" s="1087"/>
      <c r="S97" s="1308"/>
      <c r="T97" s="1308"/>
      <c r="U97" s="1308"/>
      <c r="V97" s="1308"/>
      <c r="W97" s="1308"/>
      <c r="X97" s="1308"/>
    </row>
    <row r="98" spans="2:24" ht="12.95" customHeight="1" x14ac:dyDescent="0.2">
      <c r="B98" s="1294"/>
      <c r="C98" s="1295"/>
      <c r="D98" s="1295"/>
      <c r="E98" s="1295"/>
      <c r="F98" s="1295"/>
      <c r="G98" s="1295"/>
      <c r="H98" s="1295"/>
      <c r="I98" s="1295"/>
      <c r="J98" s="1295"/>
      <c r="K98" s="1295"/>
      <c r="L98" s="1295"/>
      <c r="M98" s="2683" t="str">
        <f>'RECAP APBD'!E44</f>
        <v>Pengguna Anggaran</v>
      </c>
      <c r="N98" s="2683"/>
      <c r="O98" s="2683"/>
      <c r="P98" s="2696"/>
      <c r="Q98" s="1101"/>
    </row>
    <row r="99" spans="2:24" ht="12.95" customHeight="1" x14ac:dyDescent="0.2">
      <c r="B99" s="1294"/>
      <c r="C99" s="1295"/>
      <c r="D99" s="1295"/>
      <c r="E99" s="1295"/>
      <c r="F99" s="1295"/>
      <c r="G99" s="1295"/>
      <c r="H99" s="1295"/>
      <c r="I99" s="1295"/>
      <c r="J99" s="1295"/>
      <c r="K99" s="1295"/>
      <c r="L99" s="1295"/>
      <c r="M99" s="2683" t="str">
        <f>'RECAP APBD'!E45</f>
        <v>Satuan Kerja Perangkat Daerah</v>
      </c>
      <c r="N99" s="2683"/>
      <c r="O99" s="2683"/>
      <c r="P99" s="2696"/>
      <c r="Q99" s="1101"/>
    </row>
    <row r="100" spans="2:24" ht="12.95" customHeight="1" x14ac:dyDescent="0.2">
      <c r="B100" s="1294"/>
      <c r="C100" s="1295"/>
      <c r="D100" s="1295"/>
      <c r="E100" s="1295"/>
      <c r="F100" s="1295"/>
      <c r="G100" s="1295"/>
      <c r="H100" s="1295"/>
      <c r="I100" s="1295"/>
      <c r="J100" s="1295"/>
      <c r="K100" s="1295"/>
      <c r="L100" s="1297"/>
      <c r="M100" s="1101"/>
      <c r="N100" s="2846"/>
      <c r="O100" s="2846"/>
      <c r="P100" s="2847"/>
      <c r="Q100" s="1100"/>
    </row>
    <row r="101" spans="2:24" ht="12.95" customHeight="1" x14ac:dyDescent="0.2">
      <c r="B101" s="1294"/>
      <c r="C101" s="1295"/>
      <c r="D101" s="1295"/>
      <c r="E101" s="1295"/>
      <c r="F101" s="1295"/>
      <c r="G101" s="1295"/>
      <c r="H101" s="1295"/>
      <c r="I101" s="1295"/>
      <c r="J101" s="1295"/>
      <c r="K101" s="1295"/>
      <c r="L101" s="1298"/>
      <c r="M101" s="1101"/>
      <c r="N101" s="2846"/>
      <c r="O101" s="2846"/>
      <c r="P101" s="2847"/>
      <c r="Q101" s="1100"/>
    </row>
    <row r="102" spans="2:24" ht="12.95" customHeight="1" x14ac:dyDescent="0.2">
      <c r="B102" s="1294"/>
      <c r="C102" s="1295"/>
      <c r="D102" s="1295"/>
      <c r="E102" s="1295"/>
      <c r="F102" s="1295"/>
      <c r="G102" s="1295"/>
      <c r="H102" s="1295"/>
      <c r="I102" s="1295"/>
      <c r="J102" s="1295"/>
      <c r="K102" s="1295"/>
      <c r="L102" s="1299"/>
      <c r="M102" s="2683" t="str">
        <f>'RECAP APBD'!E48</f>
        <v>Bustami, SH</v>
      </c>
      <c r="N102" s="2683"/>
      <c r="O102" s="2683"/>
      <c r="P102" s="2696"/>
      <c r="Q102" s="1089"/>
    </row>
    <row r="103" spans="2:24" ht="12.95" customHeight="1" x14ac:dyDescent="0.2">
      <c r="B103" s="1300"/>
      <c r="C103" s="1301"/>
      <c r="D103" s="1301"/>
      <c r="E103" s="1301"/>
      <c r="F103" s="1301"/>
      <c r="G103" s="1301"/>
      <c r="H103" s="1301"/>
      <c r="I103" s="1301"/>
      <c r="J103" s="1301"/>
      <c r="K103" s="1301"/>
      <c r="L103" s="1301"/>
      <c r="M103" s="2683" t="str">
        <f>'RECAP APBD'!E49</f>
        <v>Pembina Utama Muda / Nip. 19630824 198703 1 004</v>
      </c>
      <c r="N103" s="2683"/>
      <c r="O103" s="2683"/>
      <c r="P103" s="2696"/>
      <c r="Q103" s="1489"/>
      <c r="R103" s="1303"/>
      <c r="S103" s="1303"/>
      <c r="T103" s="1087"/>
      <c r="U103" s="1304"/>
    </row>
    <row r="104" spans="2:24" ht="12.95" customHeight="1" x14ac:dyDescent="0.2">
      <c r="B104" s="2501" t="s">
        <v>140</v>
      </c>
      <c r="C104" s="2502"/>
      <c r="D104" s="2502"/>
      <c r="E104" s="2502"/>
      <c r="F104" s="2502"/>
      <c r="G104" s="2502"/>
      <c r="H104" s="2502"/>
      <c r="I104" s="2502"/>
      <c r="J104" s="2502"/>
      <c r="K104" s="2502"/>
      <c r="L104" s="2502"/>
      <c r="M104" s="2513"/>
      <c r="N104" s="2513"/>
      <c r="O104" s="2513"/>
      <c r="P104" s="2514"/>
      <c r="Q104" s="571"/>
      <c r="R104" s="1303"/>
      <c r="S104" s="1303"/>
      <c r="T104" s="1297"/>
      <c r="U104" s="1304"/>
    </row>
    <row r="105" spans="2:24" ht="12.95" customHeight="1" x14ac:dyDescent="0.2">
      <c r="B105" s="2501" t="s">
        <v>22</v>
      </c>
      <c r="C105" s="2502"/>
      <c r="D105" s="2502"/>
      <c r="E105" s="2502"/>
      <c r="F105" s="2502"/>
      <c r="G105" s="2502"/>
      <c r="H105" s="2502"/>
      <c r="I105" s="2502"/>
      <c r="J105" s="2502"/>
      <c r="K105" s="2502"/>
      <c r="L105" s="2502"/>
      <c r="M105" s="251"/>
      <c r="N105" s="2508"/>
      <c r="O105" s="2508"/>
      <c r="P105" s="2509"/>
      <c r="Q105" s="1490"/>
      <c r="R105" s="1303"/>
      <c r="S105" s="1303"/>
      <c r="T105" s="1297"/>
      <c r="U105" s="1304"/>
    </row>
    <row r="106" spans="2:24" ht="12.95" customHeight="1" x14ac:dyDescent="0.2">
      <c r="B106" s="2501" t="s">
        <v>21</v>
      </c>
      <c r="C106" s="2502"/>
      <c r="D106" s="2502"/>
      <c r="E106" s="2502"/>
      <c r="F106" s="2502"/>
      <c r="G106" s="2502"/>
      <c r="H106" s="2502"/>
      <c r="I106" s="2502"/>
      <c r="J106" s="2502"/>
      <c r="K106" s="2502"/>
      <c r="L106" s="2502"/>
      <c r="M106" s="251"/>
      <c r="N106" s="2503"/>
      <c r="O106" s="2503"/>
      <c r="P106" s="2504"/>
      <c r="Q106" s="1087"/>
      <c r="R106" s="1306"/>
      <c r="S106" s="1306"/>
      <c r="T106" s="1297"/>
      <c r="U106" s="1304"/>
    </row>
    <row r="107" spans="2:24" ht="12.95" customHeight="1" x14ac:dyDescent="0.2">
      <c r="B107" s="2501" t="s">
        <v>204</v>
      </c>
      <c r="C107" s="2502"/>
      <c r="D107" s="2502"/>
      <c r="E107" s="2502"/>
      <c r="F107" s="2502"/>
      <c r="G107" s="2502"/>
      <c r="H107" s="2502"/>
      <c r="I107" s="2502"/>
      <c r="J107" s="2502"/>
      <c r="K107" s="2502"/>
      <c r="L107" s="2502"/>
      <c r="M107" s="2502"/>
      <c r="N107" s="2502"/>
      <c r="O107" s="2502"/>
      <c r="P107" s="2505"/>
      <c r="Q107" s="572"/>
      <c r="R107" s="1306"/>
      <c r="S107" s="1306"/>
      <c r="T107" s="1297"/>
      <c r="U107" s="1304"/>
    </row>
    <row r="108" spans="2:24" ht="12.95" customHeight="1" x14ac:dyDescent="0.2">
      <c r="B108" s="2501" t="s">
        <v>205</v>
      </c>
      <c r="C108" s="2502"/>
      <c r="D108" s="2502"/>
      <c r="E108" s="2502"/>
      <c r="F108" s="2502"/>
      <c r="G108" s="2502"/>
      <c r="H108" s="2502"/>
      <c r="I108" s="2502"/>
      <c r="J108" s="2502"/>
      <c r="K108" s="2502"/>
      <c r="L108" s="2502"/>
      <c r="M108" s="2502"/>
      <c r="N108" s="2502"/>
      <c r="O108" s="2502"/>
      <c r="P108" s="2505"/>
      <c r="Q108" s="572"/>
      <c r="R108" s="1306"/>
      <c r="S108" s="1306"/>
      <c r="T108" s="1297"/>
      <c r="U108" s="1307"/>
    </row>
    <row r="109" spans="2:24" ht="12.95" customHeight="1" thickBot="1" x14ac:dyDescent="0.25">
      <c r="B109" s="2517" t="s">
        <v>206</v>
      </c>
      <c r="C109" s="2518"/>
      <c r="D109" s="2518"/>
      <c r="E109" s="2518"/>
      <c r="F109" s="2518"/>
      <c r="G109" s="2518"/>
      <c r="H109" s="2518"/>
      <c r="I109" s="2518"/>
      <c r="J109" s="2518"/>
      <c r="K109" s="2518"/>
      <c r="L109" s="2518"/>
      <c r="M109" s="2518"/>
      <c r="N109" s="2518"/>
      <c r="O109" s="2518"/>
      <c r="P109" s="2519"/>
      <c r="Q109" s="572"/>
      <c r="R109" s="1306"/>
      <c r="S109" s="1306"/>
      <c r="T109" s="1297"/>
      <c r="U109" s="1307"/>
    </row>
    <row r="110" spans="2:24" ht="12.95" customHeight="1" thickTop="1" x14ac:dyDescent="0.2">
      <c r="B110" s="2523" t="s">
        <v>25</v>
      </c>
      <c r="C110" s="2524"/>
      <c r="D110" s="2524"/>
      <c r="E110" s="2524"/>
      <c r="F110" s="2524"/>
      <c r="G110" s="2524"/>
      <c r="H110" s="2524"/>
      <c r="I110" s="2524"/>
      <c r="J110" s="2524"/>
      <c r="K110" s="2524"/>
      <c r="L110" s="2524"/>
      <c r="M110" s="2524"/>
      <c r="N110" s="2524"/>
      <c r="O110" s="2524"/>
      <c r="P110" s="2525"/>
      <c r="Q110" s="573"/>
    </row>
    <row r="111" spans="2:24" ht="12.95" customHeight="1" thickBot="1" x14ac:dyDescent="0.25">
      <c r="B111" s="2526" t="s">
        <v>207</v>
      </c>
      <c r="C111" s="2527"/>
      <c r="D111" s="2528" t="s">
        <v>208</v>
      </c>
      <c r="E111" s="2529"/>
      <c r="F111" s="2529"/>
      <c r="G111" s="2529"/>
      <c r="H111" s="2529"/>
      <c r="I111" s="2529"/>
      <c r="J111" s="2529"/>
      <c r="K111" s="2529"/>
      <c r="L111" s="2530"/>
      <c r="M111" s="2531" t="s">
        <v>209</v>
      </c>
      <c r="N111" s="2530"/>
      <c r="O111" s="4" t="s">
        <v>210</v>
      </c>
      <c r="P111" s="92" t="s">
        <v>211</v>
      </c>
      <c r="Q111" s="1090"/>
    </row>
    <row r="112" spans="2:24" ht="12.95" customHeight="1" thickTop="1" x14ac:dyDescent="0.2">
      <c r="B112" s="2535">
        <v>1</v>
      </c>
      <c r="C112" s="2536"/>
      <c r="D112" s="2532"/>
      <c r="E112" s="2533"/>
      <c r="F112" s="2533"/>
      <c r="G112" s="2533"/>
      <c r="H112" s="2533"/>
      <c r="I112" s="2533"/>
      <c r="J112" s="2533"/>
      <c r="K112" s="2533"/>
      <c r="L112" s="2534"/>
      <c r="M112" s="2538"/>
      <c r="N112" s="2539"/>
      <c r="O112" s="1073"/>
      <c r="P112" s="1177" t="s">
        <v>10</v>
      </c>
      <c r="Q112" s="1304"/>
    </row>
    <row r="113" spans="2:17" ht="12.95" customHeight="1" x14ac:dyDescent="0.2">
      <c r="B113" s="2522">
        <v>2</v>
      </c>
      <c r="C113" s="2240"/>
      <c r="D113" s="1116"/>
      <c r="E113" s="1117"/>
      <c r="F113" s="1117"/>
      <c r="G113" s="1117"/>
      <c r="H113" s="1117"/>
      <c r="I113" s="1117"/>
      <c r="J113" s="1117"/>
      <c r="K113" s="1117"/>
      <c r="L113" s="1118"/>
      <c r="M113" s="2442"/>
      <c r="N113" s="2247"/>
      <c r="O113" s="1085"/>
      <c r="P113" s="1177" t="s">
        <v>11</v>
      </c>
      <c r="Q113" s="1304"/>
    </row>
    <row r="114" spans="2:17" ht="12.95" customHeight="1" x14ac:dyDescent="0.2">
      <c r="B114" s="2522">
        <v>3</v>
      </c>
      <c r="C114" s="2240"/>
      <c r="D114" s="1116"/>
      <c r="E114" s="1117"/>
      <c r="F114" s="1117"/>
      <c r="G114" s="1117"/>
      <c r="H114" s="1117"/>
      <c r="I114" s="1117"/>
      <c r="J114" s="1117"/>
      <c r="K114" s="1117"/>
      <c r="L114" s="1118"/>
      <c r="M114" s="2442"/>
      <c r="N114" s="2247"/>
      <c r="O114" s="1085"/>
      <c r="P114" s="1177" t="s">
        <v>12</v>
      </c>
      <c r="Q114" s="1304"/>
    </row>
    <row r="115" spans="2:17" ht="12.95" customHeight="1" x14ac:dyDescent="0.2">
      <c r="B115" s="2522">
        <v>4</v>
      </c>
      <c r="C115" s="2240"/>
      <c r="D115" s="1116"/>
      <c r="E115" s="1117"/>
      <c r="F115" s="1117"/>
      <c r="G115" s="1117"/>
      <c r="H115" s="1117"/>
      <c r="I115" s="1117"/>
      <c r="J115" s="1117"/>
      <c r="K115" s="1117"/>
      <c r="L115" s="1118"/>
      <c r="M115" s="2443"/>
      <c r="N115" s="2253"/>
      <c r="O115" s="1085"/>
      <c r="P115" s="1177" t="s">
        <v>13</v>
      </c>
      <c r="Q115" s="1304"/>
    </row>
    <row r="116" spans="2:17" ht="12.95" customHeight="1" x14ac:dyDescent="0.2">
      <c r="B116" s="2522">
        <v>5</v>
      </c>
      <c r="C116" s="2240"/>
      <c r="D116" s="1116"/>
      <c r="E116" s="1117"/>
      <c r="F116" s="1117"/>
      <c r="G116" s="1117"/>
      <c r="H116" s="1117"/>
      <c r="I116" s="1117"/>
      <c r="J116" s="1117"/>
      <c r="K116" s="1117"/>
      <c r="L116" s="1118"/>
      <c r="M116" s="2443"/>
      <c r="N116" s="2253"/>
      <c r="O116" s="1085"/>
      <c r="P116" s="1177" t="s">
        <v>14</v>
      </c>
      <c r="Q116" s="1304"/>
    </row>
    <row r="117" spans="2:17" ht="12.95" customHeight="1" x14ac:dyDescent="0.2">
      <c r="B117" s="2522">
        <v>6</v>
      </c>
      <c r="C117" s="2240"/>
      <c r="D117" s="1116"/>
      <c r="E117" s="1117"/>
      <c r="F117" s="1117"/>
      <c r="G117" s="1117"/>
      <c r="H117" s="1117"/>
      <c r="I117" s="1117"/>
      <c r="J117" s="1117"/>
      <c r="K117" s="1117"/>
      <c r="L117" s="1118"/>
      <c r="M117" s="2443"/>
      <c r="N117" s="2253"/>
      <c r="O117" s="1085"/>
      <c r="P117" s="1178" t="s">
        <v>42</v>
      </c>
      <c r="Q117" s="1307"/>
    </row>
    <row r="118" spans="2:17" ht="12.95" customHeight="1" thickBot="1" x14ac:dyDescent="0.25">
      <c r="B118" s="2520">
        <v>7</v>
      </c>
      <c r="C118" s="2521"/>
      <c r="D118" s="1119"/>
      <c r="E118" s="1120"/>
      <c r="F118" s="1120"/>
      <c r="G118" s="1120"/>
      <c r="H118" s="1120"/>
      <c r="I118" s="1120"/>
      <c r="J118" s="1120"/>
      <c r="K118" s="1120"/>
      <c r="L118" s="1121"/>
      <c r="M118" s="2537"/>
      <c r="N118" s="2300"/>
      <c r="O118" s="1061"/>
      <c r="P118" s="1179" t="s">
        <v>487</v>
      </c>
      <c r="Q118" s="1307"/>
    </row>
    <row r="119" spans="2:17" ht="13.5" thickTop="1" x14ac:dyDescent="0.2">
      <c r="B119" s="1308"/>
      <c r="C119" s="1308"/>
      <c r="D119" s="1308"/>
      <c r="E119" s="1308"/>
      <c r="F119" s="1308"/>
      <c r="G119" s="1308"/>
      <c r="H119" s="1308"/>
      <c r="I119" s="1308"/>
      <c r="J119" s="1308"/>
      <c r="K119" s="1308"/>
      <c r="L119" s="1308"/>
      <c r="M119" s="1308"/>
      <c r="N119" s="1308"/>
      <c r="O119" s="1308"/>
      <c r="P119" s="1308"/>
      <c r="Q119" s="1308"/>
    </row>
    <row r="120" spans="2:17" x14ac:dyDescent="0.2">
      <c r="B120" s="1308"/>
      <c r="C120" s="1308"/>
      <c r="D120" s="1308"/>
      <c r="E120" s="1308"/>
      <c r="F120" s="1308"/>
      <c r="G120" s="1308"/>
      <c r="H120" s="1308"/>
      <c r="I120" s="1308"/>
      <c r="J120" s="1308"/>
      <c r="K120" s="1308"/>
      <c r="L120" s="1308"/>
      <c r="M120" s="1308"/>
      <c r="N120" s="1308"/>
      <c r="O120" s="1308"/>
      <c r="P120" s="1308"/>
      <c r="Q120" s="1308"/>
    </row>
    <row r="121" spans="2:17" x14ac:dyDescent="0.2">
      <c r="B121" s="1308"/>
      <c r="C121" s="1308"/>
      <c r="D121" s="1308"/>
      <c r="E121" s="1308"/>
      <c r="F121" s="1308"/>
      <c r="G121" s="1308"/>
      <c r="H121" s="1308"/>
      <c r="I121" s="1308"/>
      <c r="J121" s="1308"/>
      <c r="K121" s="1308"/>
      <c r="L121" s="1308"/>
      <c r="M121" s="1308"/>
      <c r="N121" s="1308"/>
      <c r="O121" s="1308"/>
      <c r="P121" s="1308"/>
      <c r="Q121" s="1308"/>
    </row>
    <row r="122" spans="2:17" x14ac:dyDescent="0.2">
      <c r="B122" s="1308"/>
      <c r="C122" s="1308"/>
      <c r="D122" s="1308"/>
      <c r="E122" s="1308"/>
      <c r="F122" s="1308"/>
      <c r="G122" s="1308"/>
      <c r="H122" s="1308"/>
      <c r="I122" s="1308"/>
      <c r="J122" s="1308"/>
      <c r="K122" s="1308"/>
      <c r="L122" s="1308"/>
      <c r="M122" s="1308"/>
      <c r="N122" s="1308"/>
      <c r="O122" s="1308"/>
      <c r="P122" s="1308"/>
      <c r="Q122" s="1308"/>
    </row>
    <row r="123" spans="2:17" x14ac:dyDescent="0.2">
      <c r="B123" s="1308"/>
      <c r="C123" s="1308"/>
      <c r="D123" s="1308"/>
      <c r="E123" s="1308"/>
      <c r="F123" s="1308"/>
      <c r="G123" s="1308"/>
      <c r="H123" s="1308"/>
      <c r="I123" s="1308"/>
      <c r="J123" s="1308"/>
      <c r="K123" s="1308"/>
      <c r="L123" s="1308"/>
      <c r="M123" s="1308"/>
      <c r="N123" s="1308"/>
      <c r="O123" s="1308"/>
      <c r="P123" s="1308"/>
      <c r="Q123" s="1308"/>
    </row>
    <row r="124" spans="2:17" x14ac:dyDescent="0.2">
      <c r="B124" s="1308"/>
      <c r="C124" s="1308"/>
      <c r="D124" s="1308"/>
      <c r="E124" s="1308"/>
      <c r="F124" s="1308"/>
      <c r="G124" s="1308"/>
      <c r="H124" s="1308"/>
      <c r="I124" s="1308"/>
      <c r="J124" s="1308"/>
      <c r="K124" s="1308"/>
      <c r="L124" s="1308"/>
      <c r="M124" s="1308"/>
      <c r="N124" s="1308"/>
      <c r="O124" s="1308"/>
      <c r="P124" s="1308"/>
      <c r="Q124" s="1308"/>
    </row>
    <row r="125" spans="2:17" x14ac:dyDescent="0.2">
      <c r="B125" s="1308"/>
      <c r="C125" s="1308"/>
      <c r="D125" s="1308"/>
      <c r="E125" s="1308"/>
      <c r="F125" s="1308"/>
      <c r="G125" s="1308"/>
      <c r="H125" s="1308"/>
      <c r="I125" s="1308"/>
      <c r="J125" s="1308"/>
      <c r="K125" s="1308"/>
      <c r="L125" s="1308"/>
      <c r="M125" s="1308"/>
      <c r="N125" s="1308"/>
      <c r="O125" s="1308"/>
      <c r="P125" s="1308"/>
      <c r="Q125" s="1308"/>
    </row>
    <row r="126" spans="2:17" x14ac:dyDescent="0.2">
      <c r="B126" s="1308"/>
      <c r="C126" s="1308"/>
      <c r="D126" s="1308"/>
      <c r="E126" s="1308"/>
      <c r="F126" s="1308"/>
      <c r="G126" s="1308"/>
      <c r="H126" s="1308"/>
      <c r="I126" s="1308"/>
      <c r="J126" s="1308"/>
      <c r="K126" s="1308"/>
      <c r="L126" s="1308"/>
      <c r="M126" s="1308"/>
      <c r="N126" s="1308"/>
      <c r="O126" s="1308"/>
      <c r="P126" s="1308"/>
      <c r="Q126" s="1308"/>
    </row>
    <row r="127" spans="2:17" x14ac:dyDescent="0.2">
      <c r="B127" s="1308"/>
      <c r="C127" s="1308"/>
      <c r="D127" s="1308"/>
      <c r="E127" s="1308"/>
      <c r="F127" s="1308"/>
      <c r="G127" s="1308"/>
      <c r="H127" s="1308"/>
      <c r="I127" s="1308"/>
      <c r="J127" s="1308"/>
      <c r="K127" s="1308"/>
      <c r="L127" s="1308"/>
      <c r="M127" s="1308"/>
      <c r="N127" s="1308"/>
      <c r="O127" s="1308"/>
      <c r="P127" s="1308"/>
      <c r="Q127" s="1308"/>
    </row>
    <row r="128" spans="2:17" x14ac:dyDescent="0.2">
      <c r="B128" s="1308"/>
      <c r="C128" s="1308"/>
      <c r="D128" s="1308"/>
      <c r="E128" s="1308"/>
      <c r="F128" s="1308"/>
      <c r="G128" s="1308"/>
      <c r="H128" s="1308"/>
      <c r="I128" s="1308"/>
      <c r="J128" s="1308"/>
      <c r="K128" s="1308"/>
      <c r="L128" s="1308"/>
      <c r="M128" s="1308"/>
      <c r="N128" s="1308"/>
      <c r="O128" s="1308"/>
      <c r="P128" s="1308"/>
      <c r="Q128" s="1308"/>
    </row>
    <row r="129" spans="2:17" x14ac:dyDescent="0.2">
      <c r="B129" s="1308"/>
      <c r="C129" s="1308"/>
      <c r="D129" s="1308"/>
      <c r="E129" s="1308"/>
      <c r="F129" s="1308"/>
      <c r="G129" s="1308"/>
      <c r="H129" s="1308"/>
      <c r="I129" s="1308"/>
      <c r="J129" s="1308"/>
      <c r="K129" s="1308"/>
      <c r="L129" s="1308"/>
      <c r="M129" s="1308"/>
      <c r="N129" s="1308"/>
      <c r="O129" s="1308"/>
      <c r="P129" s="1308"/>
      <c r="Q129" s="1308"/>
    </row>
    <row r="130" spans="2:17" x14ac:dyDescent="0.2">
      <c r="B130" s="1308"/>
      <c r="C130" s="1308"/>
      <c r="D130" s="1308"/>
      <c r="E130" s="1308"/>
      <c r="F130" s="1308"/>
      <c r="G130" s="1308"/>
      <c r="H130" s="1308"/>
      <c r="I130" s="1308"/>
      <c r="J130" s="1308"/>
      <c r="K130" s="1308"/>
      <c r="L130" s="1308"/>
      <c r="M130" s="1308"/>
      <c r="N130" s="1308"/>
      <c r="O130" s="1308"/>
      <c r="P130" s="1308"/>
      <c r="Q130" s="1308"/>
    </row>
    <row r="131" spans="2:17" x14ac:dyDescent="0.2">
      <c r="B131" s="1308"/>
      <c r="C131" s="1308"/>
      <c r="D131" s="1308"/>
      <c r="E131" s="1308"/>
      <c r="F131" s="1308"/>
      <c r="G131" s="1308"/>
      <c r="H131" s="1308"/>
      <c r="I131" s="1308"/>
      <c r="J131" s="1308"/>
      <c r="K131" s="1308"/>
      <c r="L131" s="1308"/>
      <c r="M131" s="1308"/>
      <c r="N131" s="1308"/>
      <c r="O131" s="1308"/>
      <c r="P131" s="1308"/>
      <c r="Q131" s="1308"/>
    </row>
    <row r="132" spans="2:17" x14ac:dyDescent="0.2">
      <c r="B132" s="1308"/>
      <c r="C132" s="1308"/>
      <c r="D132" s="1308"/>
      <c r="E132" s="1308"/>
      <c r="F132" s="1308"/>
      <c r="G132" s="1308"/>
      <c r="H132" s="1308"/>
      <c r="I132" s="1308"/>
      <c r="J132" s="1308"/>
      <c r="K132" s="1308"/>
      <c r="L132" s="1308"/>
      <c r="M132" s="1308"/>
      <c r="N132" s="1308"/>
      <c r="O132" s="1308"/>
      <c r="P132" s="1308"/>
      <c r="Q132" s="1308"/>
    </row>
    <row r="133" spans="2:17" x14ac:dyDescent="0.2">
      <c r="B133" s="1308"/>
      <c r="C133" s="1308"/>
      <c r="D133" s="1308"/>
      <c r="E133" s="1308"/>
      <c r="F133" s="1308"/>
      <c r="G133" s="1308"/>
      <c r="H133" s="1308"/>
      <c r="I133" s="1308"/>
      <c r="J133" s="1308"/>
      <c r="K133" s="1308"/>
      <c r="L133" s="1308"/>
      <c r="M133" s="1308"/>
      <c r="N133" s="1308"/>
      <c r="O133" s="1308"/>
      <c r="P133" s="1308"/>
      <c r="Q133" s="1308"/>
    </row>
    <row r="134" spans="2:17" x14ac:dyDescent="0.2">
      <c r="B134" s="1308"/>
      <c r="C134" s="1308"/>
      <c r="D134" s="1308"/>
      <c r="E134" s="1308"/>
      <c r="F134" s="1308"/>
      <c r="G134" s="1308"/>
      <c r="H134" s="1308"/>
      <c r="I134" s="1308"/>
      <c r="J134" s="1308"/>
      <c r="K134" s="1308"/>
      <c r="L134" s="1308"/>
      <c r="M134" s="1308"/>
      <c r="N134" s="1308"/>
      <c r="O134" s="1308"/>
      <c r="P134" s="1308"/>
      <c r="Q134" s="1308"/>
    </row>
    <row r="135" spans="2:17" x14ac:dyDescent="0.2">
      <c r="B135" s="1308"/>
      <c r="C135" s="1308"/>
      <c r="D135" s="1308"/>
      <c r="E135" s="1308"/>
      <c r="F135" s="1308"/>
      <c r="G135" s="1308"/>
      <c r="H135" s="1308"/>
      <c r="I135" s="1308"/>
      <c r="J135" s="1308"/>
      <c r="K135" s="1308"/>
      <c r="L135" s="1308"/>
      <c r="M135" s="1308"/>
      <c r="N135" s="1308"/>
      <c r="O135" s="1308"/>
      <c r="P135" s="1308"/>
      <c r="Q135" s="1308"/>
    </row>
  </sheetData>
  <mergeCells count="86">
    <mergeCell ref="M8:P8"/>
    <mergeCell ref="M118:N118"/>
    <mergeCell ref="M99:P99"/>
    <mergeCell ref="M115:N115"/>
    <mergeCell ref="M116:N116"/>
    <mergeCell ref="M117:N117"/>
    <mergeCell ref="M112:N112"/>
    <mergeCell ref="M113:N113"/>
    <mergeCell ref="M114:N114"/>
    <mergeCell ref="B109:P109"/>
    <mergeCell ref="B110:P110"/>
    <mergeCell ref="M111:N111"/>
    <mergeCell ref="B111:C111"/>
    <mergeCell ref="D111:L111"/>
    <mergeCell ref="B112:C112"/>
    <mergeCell ref="D112:L112"/>
    <mergeCell ref="B113:C113"/>
    <mergeCell ref="B114:C114"/>
    <mergeCell ref="N105:P105"/>
    <mergeCell ref="B106:L106"/>
    <mergeCell ref="N106:P106"/>
    <mergeCell ref="B107:P107"/>
    <mergeCell ref="B108:P108"/>
    <mergeCell ref="B105:L105"/>
    <mergeCell ref="R66:S66"/>
    <mergeCell ref="M97:P97"/>
    <mergeCell ref="M98:P98"/>
    <mergeCell ref="N100:P100"/>
    <mergeCell ref="M95:O95"/>
    <mergeCell ref="N101:P101"/>
    <mergeCell ref="M102:P102"/>
    <mergeCell ref="M103:P103"/>
    <mergeCell ref="B104:L104"/>
    <mergeCell ref="M104:P104"/>
    <mergeCell ref="B28:K28"/>
    <mergeCell ref="B24:K24"/>
    <mergeCell ref="L24:L27"/>
    <mergeCell ref="M24:O24"/>
    <mergeCell ref="B25:K25"/>
    <mergeCell ref="M25:M27"/>
    <mergeCell ref="N25:N27"/>
    <mergeCell ref="O25:O27"/>
    <mergeCell ref="B26:K26"/>
    <mergeCell ref="B27:K27"/>
    <mergeCell ref="B23:P23"/>
    <mergeCell ref="B17:K17"/>
    <mergeCell ref="L17:N17"/>
    <mergeCell ref="O17:P17"/>
    <mergeCell ref="B18:K18"/>
    <mergeCell ref="L18:N18"/>
    <mergeCell ref="O18:P18"/>
    <mergeCell ref="B19:K19"/>
    <mergeCell ref="L19:N19"/>
    <mergeCell ref="O19:P19"/>
    <mergeCell ref="B21:P21"/>
    <mergeCell ref="B22:P22"/>
    <mergeCell ref="B20:P20"/>
    <mergeCell ref="B14:P14"/>
    <mergeCell ref="B15:K15"/>
    <mergeCell ref="L15:N15"/>
    <mergeCell ref="O15:P15"/>
    <mergeCell ref="B16:K16"/>
    <mergeCell ref="L16:N16"/>
    <mergeCell ref="O16:P16"/>
    <mergeCell ref="B9:K9"/>
    <mergeCell ref="B10:K10"/>
    <mergeCell ref="L10:P10"/>
    <mergeCell ref="B11:K11"/>
    <mergeCell ref="B12:K12"/>
    <mergeCell ref="M9:P9"/>
    <mergeCell ref="B115:C115"/>
    <mergeCell ref="B116:C116"/>
    <mergeCell ref="B117:C117"/>
    <mergeCell ref="B118:C118"/>
    <mergeCell ref="P2:P3"/>
    <mergeCell ref="B4:O4"/>
    <mergeCell ref="P4:P5"/>
    <mergeCell ref="B5:O5"/>
    <mergeCell ref="F2:O2"/>
    <mergeCell ref="F3:O3"/>
    <mergeCell ref="B13:K13"/>
    <mergeCell ref="B6:K6"/>
    <mergeCell ref="M6:P6"/>
    <mergeCell ref="B7:K7"/>
    <mergeCell ref="M7:P7"/>
    <mergeCell ref="B8:K8"/>
  </mergeCells>
  <pageMargins left="0.68" right="0.16" top="0.73" bottom="1.1100000000000001" header="0.42" footer="0.3"/>
  <pageSetup paperSize="5" scale="76" orientation="portrait" horizontalDpi="4294967293" verticalDpi="4294967293" r:id="rId1"/>
  <rowBreaks count="1" manualBreakCount="1">
    <brk id="73" min="1" max="15"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Z133"/>
  <sheetViews>
    <sheetView view="pageBreakPreview" topLeftCell="A65" zoomScaleNormal="130" zoomScaleSheetLayoutView="100" workbookViewId="0">
      <selection activeCell="A33" sqref="A33:XFD33"/>
    </sheetView>
  </sheetViews>
  <sheetFormatPr defaultColWidth="8.7109375" defaultRowHeight="12.75" x14ac:dyDescent="0.2"/>
  <cols>
    <col min="1" max="1" width="4.42578125" style="715" customWidth="1"/>
    <col min="2" max="11" width="2.7109375" style="715" customWidth="1"/>
    <col min="12" max="12" width="47.5703125" style="715" customWidth="1"/>
    <col min="13" max="13" width="10.5703125" style="715" customWidth="1"/>
    <col min="14" max="14" width="8.5703125" style="715" customWidth="1"/>
    <col min="15" max="15" width="13.5703125" style="715" customWidth="1"/>
    <col min="16" max="16" width="16.5703125" style="715" customWidth="1"/>
    <col min="17" max="17" width="17" style="715" customWidth="1"/>
    <col min="18" max="18" width="2.28515625" style="715" customWidth="1"/>
    <col min="19" max="19" width="40.28515625" style="715" customWidth="1"/>
    <col min="20" max="20" width="2.42578125" style="715" customWidth="1"/>
    <col min="21" max="21" width="30.5703125" style="715" customWidth="1"/>
    <col min="22" max="24" width="8.7109375" style="715"/>
    <col min="25" max="25" width="12" style="715" customWidth="1"/>
    <col min="26" max="26" width="12.28515625" style="715" customWidth="1"/>
    <col min="27" max="16384" width="8.7109375" style="715"/>
  </cols>
  <sheetData>
    <row r="1" spans="2:22" ht="13.5" thickBot="1" x14ac:dyDescent="0.25"/>
    <row r="2" spans="2:22" ht="18.95" customHeight="1" thickTop="1" x14ac:dyDescent="0.2">
      <c r="B2" s="72"/>
      <c r="C2" s="73"/>
      <c r="D2" s="73"/>
      <c r="E2" s="73"/>
      <c r="F2" s="2174" t="s">
        <v>182</v>
      </c>
      <c r="G2" s="2174"/>
      <c r="H2" s="2174"/>
      <c r="I2" s="2174"/>
      <c r="J2" s="2174"/>
      <c r="K2" s="2174"/>
      <c r="L2" s="2174"/>
      <c r="M2" s="2174"/>
      <c r="N2" s="2174"/>
      <c r="O2" s="2175"/>
      <c r="P2" s="2178" t="s">
        <v>67</v>
      </c>
    </row>
    <row r="3" spans="2:22" ht="18.95" customHeight="1" x14ac:dyDescent="0.2">
      <c r="B3" s="74"/>
      <c r="C3" s="7"/>
      <c r="D3" s="7"/>
      <c r="E3" s="7"/>
      <c r="F3" s="2465" t="s">
        <v>183</v>
      </c>
      <c r="G3" s="2465"/>
      <c r="H3" s="2465"/>
      <c r="I3" s="2465"/>
      <c r="J3" s="2465"/>
      <c r="K3" s="2465"/>
      <c r="L3" s="2465"/>
      <c r="M3" s="2465"/>
      <c r="N3" s="2465"/>
      <c r="O3" s="2466"/>
      <c r="P3" s="2464"/>
    </row>
    <row r="4" spans="2:22" ht="12.95" customHeight="1" x14ac:dyDescent="0.2">
      <c r="B4" s="2182" t="s">
        <v>33</v>
      </c>
      <c r="C4" s="2183"/>
      <c r="D4" s="2183"/>
      <c r="E4" s="2183"/>
      <c r="F4" s="2183"/>
      <c r="G4" s="2183"/>
      <c r="H4" s="2183"/>
      <c r="I4" s="2183"/>
      <c r="J4" s="2183"/>
      <c r="K4" s="2183"/>
      <c r="L4" s="2183"/>
      <c r="M4" s="2183"/>
      <c r="N4" s="2183"/>
      <c r="O4" s="2604"/>
      <c r="P4" s="2605" t="s">
        <v>30</v>
      </c>
    </row>
    <row r="5" spans="2:22" ht="12.95" customHeight="1" thickBot="1" x14ac:dyDescent="0.25">
      <c r="B5" s="2373" t="str">
        <f>'RECAP APBD'!B5:F5</f>
        <v>Tahun Anggaran 2020</v>
      </c>
      <c r="C5" s="2374"/>
      <c r="D5" s="2374"/>
      <c r="E5" s="2374"/>
      <c r="F5" s="2374"/>
      <c r="G5" s="2374"/>
      <c r="H5" s="2374"/>
      <c r="I5" s="2374"/>
      <c r="J5" s="2374"/>
      <c r="K5" s="2374"/>
      <c r="L5" s="2374"/>
      <c r="M5" s="2374"/>
      <c r="N5" s="2374"/>
      <c r="O5" s="2470"/>
      <c r="P5" s="2606"/>
    </row>
    <row r="6" spans="2:22" ht="12.95" customHeight="1" x14ac:dyDescent="0.2">
      <c r="B6" s="2462" t="s">
        <v>453</v>
      </c>
      <c r="C6" s="2463"/>
      <c r="D6" s="2463"/>
      <c r="E6" s="2463"/>
      <c r="F6" s="2463"/>
      <c r="G6" s="2463"/>
      <c r="H6" s="2463"/>
      <c r="I6" s="2463"/>
      <c r="J6" s="2463"/>
      <c r="K6" s="2463"/>
      <c r="L6" s="1068" t="s">
        <v>442</v>
      </c>
      <c r="M6" s="2213" t="s">
        <v>437</v>
      </c>
      <c r="N6" s="2213"/>
      <c r="O6" s="2213"/>
      <c r="P6" s="2214"/>
    </row>
    <row r="7" spans="2:22" ht="12.95" customHeight="1" x14ac:dyDescent="0.2">
      <c r="B7" s="2471" t="s">
        <v>19</v>
      </c>
      <c r="C7" s="2355"/>
      <c r="D7" s="2355"/>
      <c r="E7" s="2355"/>
      <c r="F7" s="2355"/>
      <c r="G7" s="2355"/>
      <c r="H7" s="2355"/>
      <c r="I7" s="2355"/>
      <c r="J7" s="2355"/>
      <c r="K7" s="2355"/>
      <c r="L7" s="1066" t="s">
        <v>441</v>
      </c>
      <c r="M7" s="2541" t="s">
        <v>466</v>
      </c>
      <c r="N7" s="2541"/>
      <c r="O7" s="2541"/>
      <c r="P7" s="2542"/>
    </row>
    <row r="8" spans="2:22" ht="12.95" customHeight="1" x14ac:dyDescent="0.2">
      <c r="B8" s="2471" t="s">
        <v>32</v>
      </c>
      <c r="C8" s="2355"/>
      <c r="D8" s="2355"/>
      <c r="E8" s="2355"/>
      <c r="F8" s="2355"/>
      <c r="G8" s="2355"/>
      <c r="H8" s="2355"/>
      <c r="I8" s="2355"/>
      <c r="J8" s="2355"/>
      <c r="K8" s="2355"/>
      <c r="L8" s="1066" t="s">
        <v>459</v>
      </c>
      <c r="M8" s="2303" t="s">
        <v>486</v>
      </c>
      <c r="N8" s="2303"/>
      <c r="O8" s="2303"/>
      <c r="P8" s="2304"/>
    </row>
    <row r="9" spans="2:22" ht="27" customHeight="1" x14ac:dyDescent="0.2">
      <c r="B9" s="2477" t="s">
        <v>20</v>
      </c>
      <c r="C9" s="2478"/>
      <c r="D9" s="2478"/>
      <c r="E9" s="2478"/>
      <c r="F9" s="2478"/>
      <c r="G9" s="2478"/>
      <c r="H9" s="2478"/>
      <c r="I9" s="2478"/>
      <c r="J9" s="2478"/>
      <c r="K9" s="2478"/>
      <c r="L9" s="1526" t="s">
        <v>461</v>
      </c>
      <c r="M9" s="2777" t="s">
        <v>589</v>
      </c>
      <c r="N9" s="2777"/>
      <c r="O9" s="2777"/>
      <c r="P9" s="2778"/>
      <c r="R9" s="2813"/>
      <c r="S9" s="2813"/>
      <c r="T9" s="2813"/>
      <c r="U9" s="2813"/>
      <c r="V9" s="2813"/>
    </row>
    <row r="10" spans="2:22" ht="12.95" customHeight="1" x14ac:dyDescent="0.2">
      <c r="B10" s="2471" t="s">
        <v>221</v>
      </c>
      <c r="C10" s="2355"/>
      <c r="D10" s="2355"/>
      <c r="E10" s="2355"/>
      <c r="F10" s="2355"/>
      <c r="G10" s="2355"/>
      <c r="H10" s="2355"/>
      <c r="I10" s="2355"/>
      <c r="J10" s="2355"/>
      <c r="K10" s="2355"/>
      <c r="L10" s="2475" t="s">
        <v>931</v>
      </c>
      <c r="M10" s="2475"/>
      <c r="N10" s="2475"/>
      <c r="O10" s="2475"/>
      <c r="P10" s="2476"/>
      <c r="R10" s="730"/>
      <c r="S10" s="730"/>
      <c r="T10" s="730"/>
      <c r="U10" s="730"/>
      <c r="V10" s="730"/>
    </row>
    <row r="11" spans="2:22" ht="12.95" customHeight="1" x14ac:dyDescent="0.2">
      <c r="B11" s="2471" t="s">
        <v>222</v>
      </c>
      <c r="C11" s="2355"/>
      <c r="D11" s="2355"/>
      <c r="E11" s="2355"/>
      <c r="F11" s="2355"/>
      <c r="G11" s="2355"/>
      <c r="H11" s="2355"/>
      <c r="I11" s="2355"/>
      <c r="J11" s="2355"/>
      <c r="K11" s="2355"/>
      <c r="L11" s="152">
        <v>32730000</v>
      </c>
      <c r="M11" s="35"/>
      <c r="N11" s="35"/>
      <c r="O11" s="35"/>
      <c r="P11" s="77"/>
      <c r="R11" s="730"/>
      <c r="S11" s="730"/>
      <c r="T11" s="730"/>
      <c r="U11" s="730"/>
      <c r="V11" s="730"/>
    </row>
    <row r="12" spans="2:22" ht="12.95" customHeight="1" x14ac:dyDescent="0.2">
      <c r="B12" s="2471" t="s">
        <v>223</v>
      </c>
      <c r="C12" s="2355"/>
      <c r="D12" s="2355"/>
      <c r="E12" s="2355"/>
      <c r="F12" s="2355"/>
      <c r="G12" s="2355"/>
      <c r="H12" s="2355"/>
      <c r="I12" s="2355"/>
      <c r="J12" s="2355"/>
      <c r="K12" s="2355"/>
      <c r="L12" s="152">
        <f>+P29</f>
        <v>302444220</v>
      </c>
      <c r="M12" s="35"/>
      <c r="N12" s="35"/>
      <c r="O12" s="35"/>
      <c r="P12" s="77"/>
      <c r="R12" s="730"/>
      <c r="S12" s="730"/>
      <c r="T12" s="730"/>
      <c r="U12" s="730"/>
      <c r="V12" s="730"/>
    </row>
    <row r="13" spans="2:22" ht="12.95" customHeight="1" x14ac:dyDescent="0.2">
      <c r="B13" s="2471" t="s">
        <v>224</v>
      </c>
      <c r="C13" s="2355"/>
      <c r="D13" s="2355"/>
      <c r="E13" s="2355"/>
      <c r="F13" s="2355"/>
      <c r="G13" s="2355"/>
      <c r="H13" s="2355"/>
      <c r="I13" s="2355"/>
      <c r="J13" s="2355"/>
      <c r="K13" s="2355"/>
      <c r="L13" s="152">
        <f>L12+(L12*5%)</f>
        <v>317566431</v>
      </c>
      <c r="M13" s="35"/>
      <c r="N13" s="35"/>
      <c r="O13" s="35"/>
      <c r="P13" s="77"/>
      <c r="R13" s="730"/>
      <c r="S13" s="730"/>
      <c r="T13" s="730"/>
      <c r="U13" s="730"/>
      <c r="V13" s="730"/>
    </row>
    <row r="14" spans="2:22" ht="12.95" customHeight="1" x14ac:dyDescent="0.2">
      <c r="B14" s="2479" t="s">
        <v>225</v>
      </c>
      <c r="C14" s="2289"/>
      <c r="D14" s="2289"/>
      <c r="E14" s="2289"/>
      <c r="F14" s="2289"/>
      <c r="G14" s="2289"/>
      <c r="H14" s="2289"/>
      <c r="I14" s="2289"/>
      <c r="J14" s="2289"/>
      <c r="K14" s="2289"/>
      <c r="L14" s="2289"/>
      <c r="M14" s="2289"/>
      <c r="N14" s="2289"/>
      <c r="O14" s="2289"/>
      <c r="P14" s="2290"/>
      <c r="R14" s="730"/>
      <c r="S14" s="730"/>
      <c r="T14" s="730"/>
      <c r="U14" s="730"/>
      <c r="V14" s="730"/>
    </row>
    <row r="15" spans="2:22" ht="12.95" customHeight="1" x14ac:dyDescent="0.2">
      <c r="B15" s="2479" t="s">
        <v>36</v>
      </c>
      <c r="C15" s="2289"/>
      <c r="D15" s="2289"/>
      <c r="E15" s="2289"/>
      <c r="F15" s="2289"/>
      <c r="G15" s="2289"/>
      <c r="H15" s="2289"/>
      <c r="I15" s="2289"/>
      <c r="J15" s="2289"/>
      <c r="K15" s="2512"/>
      <c r="L15" s="2607" t="s">
        <v>226</v>
      </c>
      <c r="M15" s="2289"/>
      <c r="N15" s="2512"/>
      <c r="O15" s="2607" t="s">
        <v>227</v>
      </c>
      <c r="P15" s="2290"/>
      <c r="R15" s="730"/>
      <c r="S15" s="730"/>
      <c r="T15" s="730"/>
      <c r="U15" s="730"/>
      <c r="V15" s="730"/>
    </row>
    <row r="16" spans="2:22" ht="23.45" customHeight="1" x14ac:dyDescent="0.2">
      <c r="B16" s="2454" t="s">
        <v>37</v>
      </c>
      <c r="C16" s="2286"/>
      <c r="D16" s="2286"/>
      <c r="E16" s="2286"/>
      <c r="F16" s="2286"/>
      <c r="G16" s="2286"/>
      <c r="H16" s="2286"/>
      <c r="I16" s="2286"/>
      <c r="J16" s="2286"/>
      <c r="K16" s="2724"/>
      <c r="L16" s="2851" t="s">
        <v>785</v>
      </c>
      <c r="M16" s="2801"/>
      <c r="N16" s="2802"/>
      <c r="O16" s="2728">
        <v>1</v>
      </c>
      <c r="P16" s="2729"/>
      <c r="R16" s="2506"/>
      <c r="S16" s="2506"/>
      <c r="T16" s="2506"/>
      <c r="U16" s="2506"/>
      <c r="V16" s="730"/>
    </row>
    <row r="17" spans="2:22" ht="12.95" customHeight="1" x14ac:dyDescent="0.2">
      <c r="B17" s="2454" t="s">
        <v>228</v>
      </c>
      <c r="C17" s="2286"/>
      <c r="D17" s="2286"/>
      <c r="E17" s="2286"/>
      <c r="F17" s="2286"/>
      <c r="G17" s="2286"/>
      <c r="H17" s="2286"/>
      <c r="I17" s="2286"/>
      <c r="J17" s="2286"/>
      <c r="K17" s="2724"/>
      <c r="L17" s="2829" t="s">
        <v>287</v>
      </c>
      <c r="M17" s="2830"/>
      <c r="N17" s="2831"/>
      <c r="O17" s="2610">
        <f>P29</f>
        <v>302444220</v>
      </c>
      <c r="P17" s="2611"/>
      <c r="R17" s="2506"/>
      <c r="S17" s="2506"/>
      <c r="T17" s="2506"/>
      <c r="U17" s="2506"/>
      <c r="V17" s="730"/>
    </row>
    <row r="18" spans="2:22" ht="12.95" customHeight="1" x14ac:dyDescent="0.2">
      <c r="B18" s="2454" t="s">
        <v>229</v>
      </c>
      <c r="C18" s="2286"/>
      <c r="D18" s="2286"/>
      <c r="E18" s="2286"/>
      <c r="F18" s="2286"/>
      <c r="G18" s="2286"/>
      <c r="H18" s="2286"/>
      <c r="I18" s="2286"/>
      <c r="J18" s="2286"/>
      <c r="K18" s="2724"/>
      <c r="L18" s="2851" t="s">
        <v>697</v>
      </c>
      <c r="M18" s="2801"/>
      <c r="N18" s="2802"/>
      <c r="O18" s="2728" t="s">
        <v>633</v>
      </c>
      <c r="P18" s="2729"/>
      <c r="R18" s="2506"/>
      <c r="S18" s="2506"/>
      <c r="T18" s="2506"/>
      <c r="U18" s="2506"/>
      <c r="V18" s="730"/>
    </row>
    <row r="19" spans="2:22" ht="12.95" customHeight="1" x14ac:dyDescent="0.2">
      <c r="B19" s="2454" t="s">
        <v>230</v>
      </c>
      <c r="C19" s="2286"/>
      <c r="D19" s="2286"/>
      <c r="E19" s="2286"/>
      <c r="F19" s="2286"/>
      <c r="G19" s="2286"/>
      <c r="H19" s="2286"/>
      <c r="I19" s="2286"/>
      <c r="J19" s="2286"/>
      <c r="K19" s="2724"/>
      <c r="L19" s="2851" t="s">
        <v>786</v>
      </c>
      <c r="M19" s="2801"/>
      <c r="N19" s="2802"/>
      <c r="O19" s="2728">
        <v>0.7</v>
      </c>
      <c r="P19" s="2729"/>
      <c r="R19" s="2506"/>
      <c r="S19" s="2506"/>
      <c r="T19" s="2506"/>
      <c r="U19" s="2506"/>
      <c r="V19" s="730"/>
    </row>
    <row r="20" spans="2:22" s="1352" customFormat="1" ht="6.95" customHeight="1" x14ac:dyDescent="0.2">
      <c r="B20" s="2445"/>
      <c r="C20" s="2446"/>
      <c r="D20" s="2446"/>
      <c r="E20" s="2446"/>
      <c r="F20" s="2446"/>
      <c r="G20" s="2446"/>
      <c r="H20" s="2446"/>
      <c r="I20" s="2446"/>
      <c r="J20" s="2446"/>
      <c r="K20" s="2446"/>
      <c r="L20" s="2446"/>
      <c r="M20" s="2446"/>
      <c r="N20" s="2446"/>
      <c r="O20" s="2446"/>
      <c r="P20" s="2447"/>
    </row>
    <row r="21" spans="2:22" ht="12.95" customHeight="1" x14ac:dyDescent="0.2">
      <c r="B21" s="2852" t="s">
        <v>358</v>
      </c>
      <c r="C21" s="2853"/>
      <c r="D21" s="2853"/>
      <c r="E21" s="2853"/>
      <c r="F21" s="2853"/>
      <c r="G21" s="2853"/>
      <c r="H21" s="2853"/>
      <c r="I21" s="2853"/>
      <c r="J21" s="2853"/>
      <c r="K21" s="2853"/>
      <c r="L21" s="2853"/>
      <c r="M21" s="2853"/>
      <c r="N21" s="2853"/>
      <c r="O21" s="2853"/>
      <c r="P21" s="2854"/>
    </row>
    <row r="22" spans="2:22" ht="12.95" customHeight="1" x14ac:dyDescent="0.2">
      <c r="B22" s="2487" t="s">
        <v>231</v>
      </c>
      <c r="C22" s="2488"/>
      <c r="D22" s="2488"/>
      <c r="E22" s="2488"/>
      <c r="F22" s="2488"/>
      <c r="G22" s="2488"/>
      <c r="H22" s="2488"/>
      <c r="I22" s="2488"/>
      <c r="J22" s="2488"/>
      <c r="K22" s="2488"/>
      <c r="L22" s="2488"/>
      <c r="M22" s="2488"/>
      <c r="N22" s="2488"/>
      <c r="O22" s="2488"/>
      <c r="P22" s="2489"/>
    </row>
    <row r="23" spans="2:22" ht="12.95" customHeight="1" x14ac:dyDescent="0.2">
      <c r="B23" s="2490" t="s">
        <v>38</v>
      </c>
      <c r="C23" s="2491"/>
      <c r="D23" s="2491"/>
      <c r="E23" s="2491"/>
      <c r="F23" s="2491"/>
      <c r="G23" s="2491"/>
      <c r="H23" s="2491"/>
      <c r="I23" s="2491"/>
      <c r="J23" s="2491"/>
      <c r="K23" s="2491"/>
      <c r="L23" s="2491"/>
      <c r="M23" s="2491"/>
      <c r="N23" s="2491"/>
      <c r="O23" s="2491"/>
      <c r="P23" s="2492"/>
    </row>
    <row r="24" spans="2:22" ht="12.95" customHeight="1" x14ac:dyDescent="0.2">
      <c r="B24" s="2493"/>
      <c r="C24" s="2264"/>
      <c r="D24" s="2264"/>
      <c r="E24" s="2264"/>
      <c r="F24" s="2264"/>
      <c r="G24" s="2264"/>
      <c r="H24" s="2264"/>
      <c r="I24" s="2264"/>
      <c r="J24" s="2264"/>
      <c r="K24" s="2494"/>
      <c r="L24" s="2603" t="s">
        <v>191</v>
      </c>
      <c r="M24" s="2742" t="s">
        <v>198</v>
      </c>
      <c r="N24" s="2499"/>
      <c r="O24" s="2743"/>
      <c r="P24" s="718"/>
    </row>
    <row r="25" spans="2:22" ht="12.95" customHeight="1" x14ac:dyDescent="0.2">
      <c r="B25" s="2448" t="s">
        <v>189</v>
      </c>
      <c r="C25" s="2449"/>
      <c r="D25" s="2449"/>
      <c r="E25" s="2449"/>
      <c r="F25" s="2449"/>
      <c r="G25" s="2449"/>
      <c r="H25" s="2449"/>
      <c r="I25" s="2449"/>
      <c r="J25" s="2449"/>
      <c r="K25" s="2450"/>
      <c r="L25" s="2405"/>
      <c r="M25" s="2750" t="s">
        <v>200</v>
      </c>
      <c r="N25" s="2603" t="s">
        <v>26</v>
      </c>
      <c r="O25" s="2603" t="s">
        <v>217</v>
      </c>
      <c r="P25" s="78" t="s">
        <v>192</v>
      </c>
    </row>
    <row r="26" spans="2:22" ht="12.95" customHeight="1" x14ac:dyDescent="0.2">
      <c r="B26" s="2448" t="s">
        <v>197</v>
      </c>
      <c r="C26" s="2449"/>
      <c r="D26" s="2449"/>
      <c r="E26" s="2449"/>
      <c r="F26" s="2449"/>
      <c r="G26" s="2449"/>
      <c r="H26" s="2449"/>
      <c r="I26" s="2449"/>
      <c r="J26" s="2449"/>
      <c r="K26" s="2450"/>
      <c r="L26" s="2405"/>
      <c r="M26" s="2496"/>
      <c r="N26" s="2405"/>
      <c r="O26" s="2405"/>
      <c r="P26" s="78" t="s">
        <v>193</v>
      </c>
    </row>
    <row r="27" spans="2:22" ht="12.95" customHeight="1" x14ac:dyDescent="0.2">
      <c r="B27" s="2451"/>
      <c r="C27" s="2452"/>
      <c r="D27" s="2452"/>
      <c r="E27" s="2452"/>
      <c r="F27" s="2452"/>
      <c r="G27" s="2452"/>
      <c r="H27" s="2452"/>
      <c r="I27" s="2452"/>
      <c r="J27" s="2452"/>
      <c r="K27" s="2453"/>
      <c r="L27" s="2406"/>
      <c r="M27" s="2497"/>
      <c r="N27" s="2406"/>
      <c r="O27" s="2406"/>
      <c r="P27" s="719"/>
    </row>
    <row r="28" spans="2:22" ht="12.95" customHeight="1" thickBot="1" x14ac:dyDescent="0.25">
      <c r="B28" s="2483">
        <v>1</v>
      </c>
      <c r="C28" s="2484"/>
      <c r="D28" s="2484"/>
      <c r="E28" s="2484"/>
      <c r="F28" s="2484"/>
      <c r="G28" s="2484"/>
      <c r="H28" s="2484"/>
      <c r="I28" s="2484"/>
      <c r="J28" s="2484"/>
      <c r="K28" s="2485"/>
      <c r="L28" s="1077">
        <v>2</v>
      </c>
      <c r="M28" s="1077">
        <v>3</v>
      </c>
      <c r="N28" s="1077">
        <v>4</v>
      </c>
      <c r="O28" s="12">
        <v>5</v>
      </c>
      <c r="P28" s="79" t="s">
        <v>24</v>
      </c>
    </row>
    <row r="29" spans="2:22" ht="12.95" customHeight="1" thickTop="1" x14ac:dyDescent="0.2">
      <c r="B29" s="80">
        <v>1</v>
      </c>
      <c r="C29" s="33" t="s">
        <v>440</v>
      </c>
      <c r="D29" s="33" t="s">
        <v>142</v>
      </c>
      <c r="E29" s="59"/>
      <c r="F29" s="1079"/>
      <c r="G29" s="46">
        <v>5</v>
      </c>
      <c r="H29" s="46">
        <v>2</v>
      </c>
      <c r="I29" s="1079"/>
      <c r="J29" s="1079"/>
      <c r="K29" s="1079"/>
      <c r="L29" s="28" t="s">
        <v>108</v>
      </c>
      <c r="M29" s="98"/>
      <c r="N29" s="16"/>
      <c r="O29" s="18"/>
      <c r="P29" s="259">
        <f>P30</f>
        <v>302444220</v>
      </c>
      <c r="Q29" s="1353">
        <f>L11</f>
        <v>32730000</v>
      </c>
      <c r="R29" s="1055"/>
    </row>
    <row r="30" spans="2:22" ht="12.95" customHeight="1" x14ac:dyDescent="0.2">
      <c r="B30" s="80">
        <v>1</v>
      </c>
      <c r="C30" s="33" t="s">
        <v>440</v>
      </c>
      <c r="D30" s="33" t="s">
        <v>142</v>
      </c>
      <c r="E30" s="60">
        <v>18</v>
      </c>
      <c r="F30" s="33"/>
      <c r="G30" s="46"/>
      <c r="H30" s="46"/>
      <c r="I30" s="1079"/>
      <c r="J30" s="1079"/>
      <c r="K30" s="1079"/>
      <c r="L30" s="228" t="s">
        <v>590</v>
      </c>
      <c r="M30" s="1412"/>
      <c r="N30" s="16"/>
      <c r="O30" s="18"/>
      <c r="P30" s="259">
        <f>P31</f>
        <v>302444220</v>
      </c>
      <c r="Q30" s="1353">
        <f>P29-Q29</f>
        <v>269714220</v>
      </c>
      <c r="R30" s="1055"/>
    </row>
    <row r="31" spans="2:22" ht="24.95" customHeight="1" x14ac:dyDescent="0.2">
      <c r="B31" s="355">
        <v>1</v>
      </c>
      <c r="C31" s="356" t="s">
        <v>440</v>
      </c>
      <c r="D31" s="356" t="s">
        <v>142</v>
      </c>
      <c r="E31" s="357">
        <v>18</v>
      </c>
      <c r="F31" s="357" t="s">
        <v>145</v>
      </c>
      <c r="G31" s="1727"/>
      <c r="H31" s="1727"/>
      <c r="I31" s="620"/>
      <c r="J31" s="359"/>
      <c r="K31" s="356"/>
      <c r="L31" s="1728" t="s">
        <v>591</v>
      </c>
      <c r="M31" s="1415"/>
      <c r="N31" s="50"/>
      <c r="O31" s="50"/>
      <c r="P31" s="638">
        <f>P33+P52+P78</f>
        <v>302444220</v>
      </c>
    </row>
    <row r="32" spans="2:22" ht="12.95" customHeight="1" x14ac:dyDescent="0.2">
      <c r="B32" s="80"/>
      <c r="C32" s="33"/>
      <c r="D32" s="33"/>
      <c r="E32" s="193"/>
      <c r="F32" s="193"/>
      <c r="G32" s="195"/>
      <c r="H32" s="195"/>
      <c r="I32" s="192"/>
      <c r="J32" s="1079"/>
      <c r="K32" s="1079"/>
      <c r="L32" s="191"/>
      <c r="M32" s="1395"/>
      <c r="N32" s="262"/>
      <c r="O32" s="184"/>
      <c r="P32" s="259"/>
    </row>
    <row r="33" spans="2:17" ht="12.95" customHeight="1" x14ac:dyDescent="0.2">
      <c r="B33" s="80">
        <v>1</v>
      </c>
      <c r="C33" s="33" t="s">
        <v>440</v>
      </c>
      <c r="D33" s="33" t="s">
        <v>142</v>
      </c>
      <c r="E33" s="60">
        <v>18</v>
      </c>
      <c r="F33" s="60" t="s">
        <v>145</v>
      </c>
      <c r="G33" s="46">
        <v>5</v>
      </c>
      <c r="H33" s="46">
        <v>2</v>
      </c>
      <c r="I33" s="1079">
        <v>1</v>
      </c>
      <c r="J33" s="192"/>
      <c r="K33" s="192"/>
      <c r="L33" s="191" t="s">
        <v>86</v>
      </c>
      <c r="M33" s="1395"/>
      <c r="N33" s="185"/>
      <c r="O33" s="262"/>
      <c r="P33" s="259">
        <f>P34+P47+P38</f>
        <v>40500000</v>
      </c>
    </row>
    <row r="34" spans="2:17" ht="12.95" customHeight="1" x14ac:dyDescent="0.2">
      <c r="B34" s="218">
        <v>1</v>
      </c>
      <c r="C34" s="219" t="s">
        <v>440</v>
      </c>
      <c r="D34" s="219" t="s">
        <v>142</v>
      </c>
      <c r="E34" s="227">
        <v>18</v>
      </c>
      <c r="F34" s="60" t="s">
        <v>145</v>
      </c>
      <c r="G34" s="222">
        <v>5</v>
      </c>
      <c r="H34" s="222">
        <v>2</v>
      </c>
      <c r="I34" s="221">
        <v>1</v>
      </c>
      <c r="J34" s="219" t="s">
        <v>142</v>
      </c>
      <c r="K34" s="221"/>
      <c r="L34" s="234" t="s">
        <v>159</v>
      </c>
      <c r="M34" s="1405"/>
      <c r="N34" s="1268"/>
      <c r="O34" s="1269"/>
      <c r="P34" s="645">
        <f>P35</f>
        <v>1650000</v>
      </c>
    </row>
    <row r="35" spans="2:17" ht="12.95" customHeight="1" x14ac:dyDescent="0.2">
      <c r="B35" s="218">
        <v>1</v>
      </c>
      <c r="C35" s="219" t="s">
        <v>440</v>
      </c>
      <c r="D35" s="219" t="s">
        <v>142</v>
      </c>
      <c r="E35" s="227">
        <v>18</v>
      </c>
      <c r="F35" s="60" t="s">
        <v>145</v>
      </c>
      <c r="G35" s="222">
        <v>5</v>
      </c>
      <c r="H35" s="222">
        <v>2</v>
      </c>
      <c r="I35" s="221">
        <v>1</v>
      </c>
      <c r="J35" s="219" t="s">
        <v>142</v>
      </c>
      <c r="K35" s="219" t="s">
        <v>142</v>
      </c>
      <c r="L35" s="235" t="s">
        <v>143</v>
      </c>
      <c r="M35" s="1343"/>
      <c r="N35" s="1271"/>
      <c r="O35" s="1272"/>
      <c r="P35" s="1273">
        <f>SUM(P36:P36)</f>
        <v>1650000</v>
      </c>
    </row>
    <row r="36" spans="2:17" s="836" customFormat="1" ht="42" customHeight="1" x14ac:dyDescent="0.2">
      <c r="B36" s="467"/>
      <c r="C36" s="468"/>
      <c r="D36" s="468"/>
      <c r="E36" s="1631"/>
      <c r="F36" s="468"/>
      <c r="G36" s="462"/>
      <c r="H36" s="462"/>
      <c r="I36" s="1632"/>
      <c r="J36" s="1633"/>
      <c r="K36" s="468"/>
      <c r="L36" s="1634" t="s">
        <v>932</v>
      </c>
      <c r="M36" s="1343">
        <v>6</v>
      </c>
      <c r="N36" s="1579" t="s">
        <v>106</v>
      </c>
      <c r="O36" s="1571">
        <v>275000</v>
      </c>
      <c r="P36" s="1581">
        <f>O36*M36</f>
        <v>1650000</v>
      </c>
    </row>
    <row r="37" spans="2:17" ht="12.95" customHeight="1" x14ac:dyDescent="0.2">
      <c r="B37" s="80"/>
      <c r="C37" s="33"/>
      <c r="D37" s="33"/>
      <c r="E37" s="60"/>
      <c r="F37" s="60"/>
      <c r="G37" s="46"/>
      <c r="H37" s="46"/>
      <c r="I37" s="1079"/>
      <c r="J37" s="192"/>
      <c r="K37" s="192"/>
      <c r="L37" s="196"/>
      <c r="M37" s="1395"/>
      <c r="N37" s="185"/>
      <c r="O37" s="262"/>
      <c r="P37" s="259"/>
    </row>
    <row r="38" spans="2:17" ht="12.95" customHeight="1" x14ac:dyDescent="0.2">
      <c r="B38" s="80">
        <v>1</v>
      </c>
      <c r="C38" s="33" t="s">
        <v>440</v>
      </c>
      <c r="D38" s="33" t="s">
        <v>142</v>
      </c>
      <c r="E38" s="60">
        <v>18</v>
      </c>
      <c r="F38" s="60" t="s">
        <v>145</v>
      </c>
      <c r="G38" s="46">
        <v>5</v>
      </c>
      <c r="H38" s="46">
        <v>2</v>
      </c>
      <c r="I38" s="1079">
        <v>1</v>
      </c>
      <c r="J38" s="33" t="s">
        <v>142</v>
      </c>
      <c r="K38" s="33" t="s">
        <v>181</v>
      </c>
      <c r="L38" s="2139" t="s">
        <v>613</v>
      </c>
      <c r="M38" s="367"/>
      <c r="N38" s="265"/>
      <c r="O38" s="268"/>
      <c r="P38" s="269">
        <f>SUM(P39+P47)</f>
        <v>38850000</v>
      </c>
    </row>
    <row r="39" spans="2:17" ht="27.75" customHeight="1" x14ac:dyDescent="0.2">
      <c r="B39" s="80"/>
      <c r="C39" s="33"/>
      <c r="D39" s="33"/>
      <c r="E39" s="60"/>
      <c r="F39" s="60"/>
      <c r="G39" s="46"/>
      <c r="H39" s="46"/>
      <c r="I39" s="1079"/>
      <c r="J39" s="33"/>
      <c r="K39" s="33"/>
      <c r="L39" s="555" t="s">
        <v>1259</v>
      </c>
      <c r="M39" s="1442"/>
      <c r="N39" s="1370"/>
      <c r="O39" s="1342"/>
      <c r="P39" s="1643">
        <f>SUM(P40:P45)</f>
        <v>38850000</v>
      </c>
    </row>
    <row r="40" spans="2:17" ht="12.95" customHeight="1" x14ac:dyDescent="0.2">
      <c r="B40" s="80"/>
      <c r="C40" s="33"/>
      <c r="D40" s="33"/>
      <c r="E40" s="60"/>
      <c r="F40" s="60"/>
      <c r="G40" s="46"/>
      <c r="H40" s="46"/>
      <c r="I40" s="1079"/>
      <c r="J40" s="33"/>
      <c r="K40" s="33"/>
      <c r="L40" s="630" t="s">
        <v>1260</v>
      </c>
      <c r="M40" s="1957">
        <v>14</v>
      </c>
      <c r="N40" s="1905" t="s">
        <v>138</v>
      </c>
      <c r="O40" s="1906">
        <v>550000</v>
      </c>
      <c r="P40" s="1640">
        <f t="shared" ref="P40:P45" si="0">O40*M40</f>
        <v>7700000</v>
      </c>
    </row>
    <row r="41" spans="2:17" ht="12.95" customHeight="1" x14ac:dyDescent="0.2">
      <c r="B41" s="80"/>
      <c r="C41" s="33"/>
      <c r="D41" s="33"/>
      <c r="E41" s="60"/>
      <c r="F41" s="60"/>
      <c r="G41" s="46"/>
      <c r="H41" s="46"/>
      <c r="I41" s="1079"/>
      <c r="J41" s="33"/>
      <c r="K41" s="33"/>
      <c r="L41" s="630" t="s">
        <v>1261</v>
      </c>
      <c r="M41" s="1957">
        <v>7</v>
      </c>
      <c r="N41" s="1905" t="s">
        <v>138</v>
      </c>
      <c r="O41" s="1906">
        <v>500000</v>
      </c>
      <c r="P41" s="1640">
        <f t="shared" si="0"/>
        <v>3500000</v>
      </c>
    </row>
    <row r="42" spans="2:17" ht="12.95" customHeight="1" x14ac:dyDescent="0.2">
      <c r="B42" s="80"/>
      <c r="C42" s="33"/>
      <c r="D42" s="33"/>
      <c r="E42" s="60"/>
      <c r="F42" s="60"/>
      <c r="G42" s="46"/>
      <c r="H42" s="46"/>
      <c r="I42" s="1079"/>
      <c r="J42" s="33"/>
      <c r="K42" s="33"/>
      <c r="L42" s="630" t="s">
        <v>1262</v>
      </c>
      <c r="M42" s="1957">
        <v>14</v>
      </c>
      <c r="N42" s="1905" t="s">
        <v>138</v>
      </c>
      <c r="O42" s="1906">
        <v>450000</v>
      </c>
      <c r="P42" s="1640">
        <f t="shared" si="0"/>
        <v>6300000</v>
      </c>
    </row>
    <row r="43" spans="2:17" ht="12.95" customHeight="1" x14ac:dyDescent="0.2">
      <c r="B43" s="80"/>
      <c r="C43" s="33"/>
      <c r="D43" s="33"/>
      <c r="E43" s="60"/>
      <c r="F43" s="60"/>
      <c r="G43" s="46"/>
      <c r="H43" s="46"/>
      <c r="I43" s="1079"/>
      <c r="J43" s="33"/>
      <c r="K43" s="33"/>
      <c r="L43" s="630" t="s">
        <v>1263</v>
      </c>
      <c r="M43" s="1957">
        <v>21</v>
      </c>
      <c r="N43" s="1905" t="s">
        <v>138</v>
      </c>
      <c r="O43" s="1906">
        <v>400000</v>
      </c>
      <c r="P43" s="1640">
        <f t="shared" si="0"/>
        <v>8400000</v>
      </c>
    </row>
    <row r="44" spans="2:17" ht="12.95" customHeight="1" x14ac:dyDescent="0.2">
      <c r="B44" s="80"/>
      <c r="C44" s="33"/>
      <c r="D44" s="33"/>
      <c r="E44" s="60"/>
      <c r="F44" s="60"/>
      <c r="G44" s="46"/>
      <c r="H44" s="46"/>
      <c r="I44" s="1079"/>
      <c r="J44" s="33"/>
      <c r="K44" s="33"/>
      <c r="L44" s="630" t="s">
        <v>1264</v>
      </c>
      <c r="M44" s="1957">
        <v>7</v>
      </c>
      <c r="N44" s="1905" t="s">
        <v>138</v>
      </c>
      <c r="O44" s="1906">
        <v>350000</v>
      </c>
      <c r="P44" s="1640">
        <f t="shared" si="0"/>
        <v>2450000</v>
      </c>
    </row>
    <row r="45" spans="2:17" ht="12.95" customHeight="1" x14ac:dyDescent="0.2">
      <c r="B45" s="80"/>
      <c r="C45" s="33"/>
      <c r="D45" s="33"/>
      <c r="E45" s="60"/>
      <c r="F45" s="60"/>
      <c r="G45" s="46"/>
      <c r="H45" s="46"/>
      <c r="I45" s="1079"/>
      <c r="J45" s="33"/>
      <c r="K45" s="33"/>
      <c r="L45" s="630" t="s">
        <v>1265</v>
      </c>
      <c r="M45" s="1957">
        <v>35</v>
      </c>
      <c r="N45" s="1905" t="s">
        <v>138</v>
      </c>
      <c r="O45" s="1906">
        <v>300000</v>
      </c>
      <c r="P45" s="1640">
        <f t="shared" si="0"/>
        <v>10500000</v>
      </c>
    </row>
    <row r="46" spans="2:17" ht="12.95" customHeight="1" x14ac:dyDescent="0.2">
      <c r="B46" s="80"/>
      <c r="C46" s="33"/>
      <c r="D46" s="33"/>
      <c r="E46" s="60"/>
      <c r="F46" s="60"/>
      <c r="G46" s="46"/>
      <c r="H46" s="46"/>
      <c r="I46" s="1079"/>
      <c r="J46" s="33"/>
      <c r="K46" s="33"/>
      <c r="L46" s="2138"/>
      <c r="M46" s="367"/>
      <c r="N46" s="265"/>
      <c r="O46" s="2134"/>
      <c r="P46" s="267"/>
    </row>
    <row r="47" spans="2:17" ht="12.95" customHeight="1" x14ac:dyDescent="0.2">
      <c r="B47" s="80">
        <v>1</v>
      </c>
      <c r="C47" s="33" t="s">
        <v>440</v>
      </c>
      <c r="D47" s="33" t="s">
        <v>142</v>
      </c>
      <c r="E47" s="60">
        <v>18</v>
      </c>
      <c r="F47" s="60" t="s">
        <v>145</v>
      </c>
      <c r="G47" s="46">
        <v>5</v>
      </c>
      <c r="H47" s="46">
        <v>2</v>
      </c>
      <c r="I47" s="1079">
        <v>1</v>
      </c>
      <c r="J47" s="33" t="s">
        <v>145</v>
      </c>
      <c r="K47" s="1079"/>
      <c r="L47" s="57" t="s">
        <v>176</v>
      </c>
      <c r="M47" s="1395"/>
      <c r="N47" s="263"/>
      <c r="O47" s="264"/>
      <c r="P47" s="259">
        <f>P48</f>
        <v>0</v>
      </c>
    </row>
    <row r="48" spans="2:17" ht="12.95" customHeight="1" x14ac:dyDescent="0.2">
      <c r="B48" s="80">
        <v>1</v>
      </c>
      <c r="C48" s="33" t="s">
        <v>440</v>
      </c>
      <c r="D48" s="33" t="s">
        <v>142</v>
      </c>
      <c r="E48" s="60">
        <v>18</v>
      </c>
      <c r="F48" s="60" t="s">
        <v>145</v>
      </c>
      <c r="G48" s="46">
        <v>5</v>
      </c>
      <c r="H48" s="46">
        <v>2</v>
      </c>
      <c r="I48" s="1079">
        <v>1</v>
      </c>
      <c r="J48" s="33" t="s">
        <v>145</v>
      </c>
      <c r="K48" s="33" t="s">
        <v>164</v>
      </c>
      <c r="L48" s="118" t="s">
        <v>993</v>
      </c>
      <c r="M48" s="1395"/>
      <c r="N48" s="265"/>
      <c r="O48" s="1492"/>
      <c r="P48" s="1594">
        <f>SUM(P49:P50)</f>
        <v>0</v>
      </c>
      <c r="Q48" s="925"/>
    </row>
    <row r="49" spans="2:17" ht="12.95" customHeight="1" x14ac:dyDescent="0.2">
      <c r="B49" s="80"/>
      <c r="C49" s="33"/>
      <c r="D49" s="33"/>
      <c r="E49" s="67"/>
      <c r="F49" s="33"/>
      <c r="G49" s="1079"/>
      <c r="H49" s="1079"/>
      <c r="I49" s="373"/>
      <c r="J49" s="68"/>
      <c r="K49" s="33"/>
      <c r="L49" s="1709" t="s">
        <v>1025</v>
      </c>
      <c r="M49" s="1726">
        <v>0</v>
      </c>
      <c r="N49" s="1143" t="s">
        <v>300</v>
      </c>
      <c r="O49" s="1235">
        <v>100000</v>
      </c>
      <c r="P49" s="616">
        <f t="shared" ref="P49:P50" si="1">O49*M49</f>
        <v>0</v>
      </c>
      <c r="Q49" s="925"/>
    </row>
    <row r="50" spans="2:17" ht="12.95" customHeight="1" x14ac:dyDescent="0.2">
      <c r="B50" s="80"/>
      <c r="C50" s="33"/>
      <c r="D50" s="33"/>
      <c r="E50" s="67"/>
      <c r="F50" s="33"/>
      <c r="G50" s="1079"/>
      <c r="H50" s="1079"/>
      <c r="I50" s="373"/>
      <c r="J50" s="68"/>
      <c r="K50" s="33"/>
      <c r="L50" s="624" t="s">
        <v>1026</v>
      </c>
      <c r="M50" s="1726">
        <v>0</v>
      </c>
      <c r="N50" s="1143" t="s">
        <v>300</v>
      </c>
      <c r="O50" s="1235">
        <v>100000</v>
      </c>
      <c r="P50" s="616">
        <f t="shared" si="1"/>
        <v>0</v>
      </c>
      <c r="Q50" s="925"/>
    </row>
    <row r="51" spans="2:17" ht="12.95" customHeight="1" x14ac:dyDescent="0.2">
      <c r="B51" s="80"/>
      <c r="C51" s="33"/>
      <c r="D51" s="33"/>
      <c r="E51" s="67"/>
      <c r="F51" s="33"/>
      <c r="G51" s="1079"/>
      <c r="H51" s="1079"/>
      <c r="I51" s="373"/>
      <c r="J51" s="68"/>
      <c r="K51" s="33"/>
      <c r="L51" s="118"/>
      <c r="M51" s="1396"/>
      <c r="N51" s="265"/>
      <c r="O51" s="268"/>
      <c r="P51" s="267"/>
    </row>
    <row r="52" spans="2:17" ht="12.95" customHeight="1" x14ac:dyDescent="0.2">
      <c r="B52" s="80">
        <v>1</v>
      </c>
      <c r="C52" s="33" t="s">
        <v>440</v>
      </c>
      <c r="D52" s="33" t="s">
        <v>142</v>
      </c>
      <c r="E52" s="60">
        <v>18</v>
      </c>
      <c r="F52" s="60" t="s">
        <v>145</v>
      </c>
      <c r="G52" s="46">
        <v>5</v>
      </c>
      <c r="H52" s="46">
        <v>2</v>
      </c>
      <c r="I52" s="1079">
        <v>2</v>
      </c>
      <c r="J52" s="1079"/>
      <c r="K52" s="1079"/>
      <c r="L52" s="138" t="s">
        <v>120</v>
      </c>
      <c r="M52" s="1348"/>
      <c r="N52" s="265"/>
      <c r="O52" s="266"/>
      <c r="P52" s="269">
        <f>P53+P61+P69+P73</f>
        <v>170794220</v>
      </c>
    </row>
    <row r="53" spans="2:17" ht="12.95" customHeight="1" x14ac:dyDescent="0.2">
      <c r="B53" s="80">
        <v>1</v>
      </c>
      <c r="C53" s="33" t="s">
        <v>440</v>
      </c>
      <c r="D53" s="33" t="s">
        <v>142</v>
      </c>
      <c r="E53" s="60">
        <v>18</v>
      </c>
      <c r="F53" s="60" t="s">
        <v>145</v>
      </c>
      <c r="G53" s="46">
        <v>5</v>
      </c>
      <c r="H53" s="46">
        <v>2</v>
      </c>
      <c r="I53" s="46">
        <v>2</v>
      </c>
      <c r="J53" s="33" t="s">
        <v>142</v>
      </c>
      <c r="K53" s="1079"/>
      <c r="L53" s="258" t="s">
        <v>109</v>
      </c>
      <c r="M53" s="1348"/>
      <c r="N53" s="1493"/>
      <c r="O53" s="1238"/>
      <c r="P53" s="269">
        <f>P54</f>
        <v>654220</v>
      </c>
    </row>
    <row r="54" spans="2:17" ht="12.95" customHeight="1" x14ac:dyDescent="0.2">
      <c r="B54" s="80">
        <v>1</v>
      </c>
      <c r="C54" s="33" t="s">
        <v>440</v>
      </c>
      <c r="D54" s="33" t="s">
        <v>142</v>
      </c>
      <c r="E54" s="60">
        <v>18</v>
      </c>
      <c r="F54" s="60" t="s">
        <v>145</v>
      </c>
      <c r="G54" s="46">
        <v>5</v>
      </c>
      <c r="H54" s="46">
        <v>2</v>
      </c>
      <c r="I54" s="46">
        <v>2</v>
      </c>
      <c r="J54" s="33" t="s">
        <v>142</v>
      </c>
      <c r="K54" s="33" t="s">
        <v>142</v>
      </c>
      <c r="L54" s="625" t="s">
        <v>645</v>
      </c>
      <c r="M54" s="1348"/>
      <c r="N54" s="265"/>
      <c r="O54" s="266"/>
      <c r="P54" s="1594">
        <f>SUM(P55:P59)</f>
        <v>654220</v>
      </c>
    </row>
    <row r="55" spans="2:17" ht="12.95" customHeight="1" x14ac:dyDescent="0.2">
      <c r="B55" s="80"/>
      <c r="C55" s="33"/>
      <c r="D55" s="33"/>
      <c r="E55" s="67"/>
      <c r="F55" s="60"/>
      <c r="G55" s="1079"/>
      <c r="H55" s="1079"/>
      <c r="I55" s="1079"/>
      <c r="J55" s="33"/>
      <c r="K55" s="33"/>
      <c r="L55" s="37" t="s">
        <v>282</v>
      </c>
      <c r="M55" s="1483">
        <v>5</v>
      </c>
      <c r="N55" s="185" t="s">
        <v>114</v>
      </c>
      <c r="O55" s="270">
        <v>47730</v>
      </c>
      <c r="P55" s="636">
        <f t="shared" ref="P55:P59" si="2">O55*M55</f>
        <v>238650</v>
      </c>
    </row>
    <row r="56" spans="2:17" ht="12.95" customHeight="1" x14ac:dyDescent="0.2">
      <c r="B56" s="80"/>
      <c r="C56" s="33"/>
      <c r="D56" s="33"/>
      <c r="E56" s="67"/>
      <c r="F56" s="60"/>
      <c r="G56" s="1079"/>
      <c r="H56" s="1079"/>
      <c r="I56" s="1079"/>
      <c r="J56" s="33"/>
      <c r="K56" s="33"/>
      <c r="L56" s="37" t="s">
        <v>965</v>
      </c>
      <c r="M56" s="1483">
        <v>2</v>
      </c>
      <c r="N56" s="185" t="s">
        <v>744</v>
      </c>
      <c r="O56" s="270">
        <v>118750</v>
      </c>
      <c r="P56" s="636">
        <f t="shared" si="2"/>
        <v>237500</v>
      </c>
    </row>
    <row r="57" spans="2:17" ht="12.95" customHeight="1" x14ac:dyDescent="0.2">
      <c r="B57" s="80"/>
      <c r="C57" s="33"/>
      <c r="D57" s="33"/>
      <c r="E57" s="67"/>
      <c r="F57" s="60"/>
      <c r="G57" s="1079"/>
      <c r="H57" s="1079"/>
      <c r="I57" s="1079"/>
      <c r="J57" s="33"/>
      <c r="K57" s="33"/>
      <c r="L57" s="37" t="s">
        <v>966</v>
      </c>
      <c r="M57" s="1483">
        <v>2</v>
      </c>
      <c r="N57" s="185" t="s">
        <v>967</v>
      </c>
      <c r="O57" s="270">
        <f>1250*12</f>
        <v>15000</v>
      </c>
      <c r="P57" s="636">
        <f t="shared" si="2"/>
        <v>30000</v>
      </c>
    </row>
    <row r="58" spans="2:17" ht="12.95" customHeight="1" x14ac:dyDescent="0.2">
      <c r="B58" s="80"/>
      <c r="C58" s="33"/>
      <c r="D58" s="33"/>
      <c r="E58" s="67"/>
      <c r="F58" s="60"/>
      <c r="G58" s="1079"/>
      <c r="H58" s="1079"/>
      <c r="I58" s="1079"/>
      <c r="J58" s="33"/>
      <c r="K58" s="33"/>
      <c r="L58" s="37" t="s">
        <v>830</v>
      </c>
      <c r="M58" s="1483">
        <v>2</v>
      </c>
      <c r="N58" s="185" t="s">
        <v>495</v>
      </c>
      <c r="O58" s="270">
        <v>21880</v>
      </c>
      <c r="P58" s="636">
        <f t="shared" si="2"/>
        <v>43760</v>
      </c>
    </row>
    <row r="59" spans="2:17" ht="12.95" customHeight="1" x14ac:dyDescent="0.2">
      <c r="B59" s="80"/>
      <c r="C59" s="33"/>
      <c r="D59" s="33"/>
      <c r="E59" s="67"/>
      <c r="F59" s="60"/>
      <c r="G59" s="1079"/>
      <c r="H59" s="1079"/>
      <c r="I59" s="1079"/>
      <c r="J59" s="33"/>
      <c r="K59" s="33"/>
      <c r="L59" s="37" t="s">
        <v>356</v>
      </c>
      <c r="M59" s="1483">
        <v>10</v>
      </c>
      <c r="N59" s="185" t="s">
        <v>495</v>
      </c>
      <c r="O59" s="270">
        <v>10431</v>
      </c>
      <c r="P59" s="636">
        <f t="shared" si="2"/>
        <v>104310</v>
      </c>
    </row>
    <row r="60" spans="2:17" ht="12.95" customHeight="1" x14ac:dyDescent="0.2">
      <c r="B60" s="80"/>
      <c r="C60" s="33"/>
      <c r="D60" s="33"/>
      <c r="E60" s="67"/>
      <c r="F60" s="33"/>
      <c r="G60" s="1079"/>
      <c r="H60" s="1079"/>
      <c r="I60" s="1079"/>
      <c r="J60" s="1079"/>
      <c r="K60" s="33"/>
      <c r="L60" s="277"/>
      <c r="M60" s="1483"/>
      <c r="N60" s="185"/>
      <c r="O60" s="270"/>
      <c r="P60" s="260"/>
    </row>
    <row r="61" spans="2:17" ht="12.95" customHeight="1" x14ac:dyDescent="0.2">
      <c r="B61" s="80">
        <v>1</v>
      </c>
      <c r="C61" s="33" t="s">
        <v>440</v>
      </c>
      <c r="D61" s="33" t="s">
        <v>142</v>
      </c>
      <c r="E61" s="60">
        <v>18</v>
      </c>
      <c r="F61" s="60" t="s">
        <v>145</v>
      </c>
      <c r="G61" s="46">
        <v>5</v>
      </c>
      <c r="H61" s="46">
        <v>2</v>
      </c>
      <c r="I61" s="46">
        <v>2</v>
      </c>
      <c r="J61" s="33" t="s">
        <v>164</v>
      </c>
      <c r="K61" s="33"/>
      <c r="L61" s="191" t="s">
        <v>112</v>
      </c>
      <c r="M61" s="1483"/>
      <c r="N61" s="185"/>
      <c r="O61" s="270"/>
      <c r="P61" s="259">
        <f>SUM(P62+P65)</f>
        <v>170000000</v>
      </c>
    </row>
    <row r="62" spans="2:17" ht="12.95" customHeight="1" x14ac:dyDescent="0.2">
      <c r="B62" s="80">
        <v>1</v>
      </c>
      <c r="C62" s="33" t="s">
        <v>440</v>
      </c>
      <c r="D62" s="33" t="s">
        <v>142</v>
      </c>
      <c r="E62" s="60">
        <v>18</v>
      </c>
      <c r="F62" s="60" t="s">
        <v>145</v>
      </c>
      <c r="G62" s="46">
        <v>5</v>
      </c>
      <c r="H62" s="46">
        <v>2</v>
      </c>
      <c r="I62" s="1079">
        <v>2</v>
      </c>
      <c r="J62" s="33" t="s">
        <v>164</v>
      </c>
      <c r="K62" s="33">
        <v>12</v>
      </c>
      <c r="L62" s="628" t="s">
        <v>240</v>
      </c>
      <c r="M62" s="1396"/>
      <c r="N62" s="265"/>
      <c r="O62" s="266"/>
      <c r="P62" s="1494">
        <f>SUM(P63:P63)</f>
        <v>100000000</v>
      </c>
    </row>
    <row r="63" spans="2:17" ht="12.95" customHeight="1" x14ac:dyDescent="0.2">
      <c r="B63" s="80"/>
      <c r="C63" s="33"/>
      <c r="D63" s="33"/>
      <c r="E63" s="67"/>
      <c r="F63" s="67"/>
      <c r="G63" s="1079"/>
      <c r="H63" s="1079"/>
      <c r="I63" s="373"/>
      <c r="J63" s="68"/>
      <c r="K63" s="33"/>
      <c r="L63" s="555" t="s">
        <v>1089</v>
      </c>
      <c r="M63" s="1442">
        <v>1</v>
      </c>
      <c r="N63" s="1370" t="s">
        <v>1082</v>
      </c>
      <c r="O63" s="1342">
        <v>100000000</v>
      </c>
      <c r="P63" s="1643">
        <f t="shared" ref="P63" si="3">O63*M63</f>
        <v>100000000</v>
      </c>
    </row>
    <row r="64" spans="2:17" ht="12.95" customHeight="1" x14ac:dyDescent="0.2">
      <c r="B64" s="80"/>
      <c r="C64" s="33"/>
      <c r="D64" s="33"/>
      <c r="E64" s="67"/>
      <c r="F64" s="67"/>
      <c r="G64" s="1079"/>
      <c r="H64" s="1079"/>
      <c r="I64" s="373"/>
      <c r="J64" s="68"/>
      <c r="K64" s="33"/>
      <c r="L64" s="630"/>
      <c r="M64" s="1957"/>
      <c r="N64" s="1905"/>
      <c r="O64" s="1906"/>
      <c r="P64" s="1958"/>
    </row>
    <row r="65" spans="2:26" ht="12.95" customHeight="1" x14ac:dyDescent="0.2">
      <c r="B65" s="80">
        <v>1</v>
      </c>
      <c r="C65" s="33" t="s">
        <v>440</v>
      </c>
      <c r="D65" s="33" t="s">
        <v>142</v>
      </c>
      <c r="E65" s="60">
        <v>18</v>
      </c>
      <c r="F65" s="60" t="s">
        <v>145</v>
      </c>
      <c r="G65" s="46">
        <v>5</v>
      </c>
      <c r="H65" s="46">
        <v>2</v>
      </c>
      <c r="I65" s="1079">
        <v>2</v>
      </c>
      <c r="J65" s="33" t="s">
        <v>164</v>
      </c>
      <c r="K65" s="33">
        <v>27</v>
      </c>
      <c r="L65" s="628" t="s">
        <v>373</v>
      </c>
      <c r="M65" s="1396"/>
      <c r="N65" s="265"/>
      <c r="O65" s="266"/>
      <c r="P65" s="1494">
        <f>SUM(P66)</f>
        <v>70000000</v>
      </c>
      <c r="R65" s="1246"/>
      <c r="S65" s="1246"/>
      <c r="T65" s="1246"/>
      <c r="U65" s="1247"/>
    </row>
    <row r="66" spans="2:26" ht="25.5" customHeight="1" x14ac:dyDescent="0.2">
      <c r="B66" s="80"/>
      <c r="C66" s="33"/>
      <c r="D66" s="33"/>
      <c r="E66" s="67"/>
      <c r="F66" s="67"/>
      <c r="G66" s="1079"/>
      <c r="H66" s="1079"/>
      <c r="I66" s="373"/>
      <c r="J66" s="68"/>
      <c r="K66" s="33"/>
      <c r="L66" s="630" t="s">
        <v>1251</v>
      </c>
      <c r="M66" s="1957">
        <v>28</v>
      </c>
      <c r="N66" s="1905" t="s">
        <v>138</v>
      </c>
      <c r="O66" s="1906">
        <v>2500000</v>
      </c>
      <c r="P66" s="1640">
        <f t="shared" ref="P66" si="4">O66*M66</f>
        <v>70000000</v>
      </c>
      <c r="R66" s="1246"/>
      <c r="S66" s="1246"/>
      <c r="T66" s="1246"/>
      <c r="U66" s="1247"/>
    </row>
    <row r="67" spans="2:26" ht="25.5" customHeight="1" x14ac:dyDescent="0.2">
      <c r="B67" s="80"/>
      <c r="C67" s="33"/>
      <c r="D67" s="33"/>
      <c r="E67" s="67"/>
      <c r="F67" s="67"/>
      <c r="G67" s="1079"/>
      <c r="H67" s="1079"/>
      <c r="I67" s="373"/>
      <c r="J67" s="68"/>
      <c r="K67" s="33"/>
      <c r="L67" s="630" t="s">
        <v>1252</v>
      </c>
      <c r="M67" s="1957"/>
      <c r="N67" s="1905"/>
      <c r="O67" s="1906"/>
      <c r="P67" s="1643"/>
      <c r="R67" s="1246"/>
      <c r="S67" s="1246"/>
      <c r="T67" s="1246"/>
      <c r="U67" s="1247"/>
    </row>
    <row r="68" spans="2:26" ht="12.95" customHeight="1" x14ac:dyDescent="0.2">
      <c r="B68" s="80"/>
      <c r="C68" s="33"/>
      <c r="D68" s="33"/>
      <c r="E68" s="67"/>
      <c r="F68" s="33"/>
      <c r="G68" s="1079"/>
      <c r="H68" s="1079"/>
      <c r="I68" s="1079"/>
      <c r="J68" s="1079"/>
      <c r="K68" s="33"/>
      <c r="L68" s="182"/>
      <c r="M68" s="1483"/>
      <c r="N68" s="185"/>
      <c r="O68" s="270"/>
      <c r="P68" s="260"/>
      <c r="R68" s="1246"/>
      <c r="S68" s="1246"/>
      <c r="T68" s="1246"/>
      <c r="U68" s="1247"/>
    </row>
    <row r="69" spans="2:26" ht="12.95" customHeight="1" x14ac:dyDescent="0.2">
      <c r="B69" s="80">
        <v>1</v>
      </c>
      <c r="C69" s="33" t="s">
        <v>440</v>
      </c>
      <c r="D69" s="33" t="s">
        <v>142</v>
      </c>
      <c r="E69" s="60">
        <v>18</v>
      </c>
      <c r="F69" s="60" t="s">
        <v>145</v>
      </c>
      <c r="G69" s="46">
        <v>5</v>
      </c>
      <c r="H69" s="46">
        <v>2</v>
      </c>
      <c r="I69" s="46">
        <v>2</v>
      </c>
      <c r="J69" s="33" t="s">
        <v>144</v>
      </c>
      <c r="K69" s="1079"/>
      <c r="L69" s="143" t="s">
        <v>115</v>
      </c>
      <c r="M69" s="1348"/>
      <c r="N69" s="1493"/>
      <c r="O69" s="1238"/>
      <c r="P69" s="269">
        <f>P70</f>
        <v>140000</v>
      </c>
      <c r="R69" s="1246"/>
      <c r="S69" s="1246"/>
      <c r="T69" s="1246"/>
      <c r="U69" s="1247"/>
    </row>
    <row r="70" spans="2:26" ht="12.95" customHeight="1" x14ac:dyDescent="0.2">
      <c r="B70" s="80">
        <v>1</v>
      </c>
      <c r="C70" s="33" t="s">
        <v>440</v>
      </c>
      <c r="D70" s="33" t="s">
        <v>142</v>
      </c>
      <c r="E70" s="60">
        <v>18</v>
      </c>
      <c r="F70" s="60" t="s">
        <v>145</v>
      </c>
      <c r="G70" s="46">
        <v>5</v>
      </c>
      <c r="H70" s="46">
        <v>2</v>
      </c>
      <c r="I70" s="46">
        <v>2</v>
      </c>
      <c r="J70" s="33" t="s">
        <v>144</v>
      </c>
      <c r="K70" s="33" t="s">
        <v>145</v>
      </c>
      <c r="L70" s="1641" t="s">
        <v>121</v>
      </c>
      <c r="M70" s="1406"/>
      <c r="N70" s="1605"/>
      <c r="O70" s="1639"/>
      <c r="P70" s="1594">
        <f>SUM(P71:P71)</f>
        <v>140000</v>
      </c>
      <c r="R70" s="1246"/>
      <c r="S70" s="1246"/>
      <c r="T70" s="1246"/>
      <c r="U70" s="1247"/>
    </row>
    <row r="71" spans="2:26" ht="12.95" customHeight="1" x14ac:dyDescent="0.2">
      <c r="B71" s="84"/>
      <c r="C71" s="69"/>
      <c r="D71" s="69"/>
      <c r="E71" s="70"/>
      <c r="F71" s="70"/>
      <c r="G71" s="39"/>
      <c r="H71" s="39"/>
      <c r="I71" s="39"/>
      <c r="J71" s="69"/>
      <c r="K71" s="69"/>
      <c r="L71" s="1708" t="s">
        <v>995</v>
      </c>
      <c r="M71" s="1717">
        <v>400</v>
      </c>
      <c r="N71" s="821" t="s">
        <v>113</v>
      </c>
      <c r="O71" s="822">
        <v>350</v>
      </c>
      <c r="P71" s="636">
        <f>O71*M71</f>
        <v>140000</v>
      </c>
      <c r="R71" s="1246"/>
      <c r="S71" s="1246"/>
      <c r="T71" s="1246"/>
      <c r="U71" s="1247"/>
    </row>
    <row r="72" spans="2:26" ht="12.95" customHeight="1" x14ac:dyDescent="0.2">
      <c r="B72" s="80"/>
      <c r="C72" s="33"/>
      <c r="D72" s="33"/>
      <c r="E72" s="67"/>
      <c r="F72" s="33"/>
      <c r="G72" s="1079"/>
      <c r="H72" s="1079"/>
      <c r="I72" s="1079"/>
      <c r="J72" s="1079"/>
      <c r="K72" s="33"/>
      <c r="L72" s="257"/>
      <c r="M72" s="1483"/>
      <c r="N72" s="185"/>
      <c r="O72" s="270"/>
      <c r="P72" s="260"/>
      <c r="R72" s="1246"/>
      <c r="S72" s="1246"/>
      <c r="T72" s="1246"/>
      <c r="U72" s="1247"/>
    </row>
    <row r="73" spans="2:26" ht="12.95" customHeight="1" x14ac:dyDescent="0.2">
      <c r="B73" s="80">
        <v>1</v>
      </c>
      <c r="C73" s="33" t="s">
        <v>440</v>
      </c>
      <c r="D73" s="33" t="s">
        <v>142</v>
      </c>
      <c r="E73" s="60">
        <v>18</v>
      </c>
      <c r="F73" s="60" t="s">
        <v>145</v>
      </c>
      <c r="G73" s="46">
        <v>5</v>
      </c>
      <c r="H73" s="46">
        <v>2</v>
      </c>
      <c r="I73" s="46">
        <v>2</v>
      </c>
      <c r="J73" s="33">
        <v>11</v>
      </c>
      <c r="K73" s="1079"/>
      <c r="L73" s="143" t="s">
        <v>295</v>
      </c>
      <c r="M73" s="1348"/>
      <c r="N73" s="1238"/>
      <c r="O73" s="1239"/>
      <c r="P73" s="269">
        <f>P74</f>
        <v>0</v>
      </c>
      <c r="R73" s="1246"/>
      <c r="S73" s="1246"/>
      <c r="T73" s="1246"/>
      <c r="U73" s="1247"/>
    </row>
    <row r="74" spans="2:26" ht="12.95" customHeight="1" x14ac:dyDescent="0.2">
      <c r="B74" s="80">
        <v>1</v>
      </c>
      <c r="C74" s="33" t="s">
        <v>440</v>
      </c>
      <c r="D74" s="33" t="s">
        <v>142</v>
      </c>
      <c r="E74" s="60">
        <v>18</v>
      </c>
      <c r="F74" s="60" t="s">
        <v>145</v>
      </c>
      <c r="G74" s="46">
        <v>5</v>
      </c>
      <c r="H74" s="46">
        <v>2</v>
      </c>
      <c r="I74" s="46">
        <v>2</v>
      </c>
      <c r="J74" s="33">
        <v>11</v>
      </c>
      <c r="K74" s="33" t="s">
        <v>168</v>
      </c>
      <c r="L74" s="633" t="s">
        <v>296</v>
      </c>
      <c r="M74" s="1406"/>
      <c r="N74" s="1639"/>
      <c r="O74" s="1642"/>
      <c r="P74" s="1594">
        <f>SUM(P75:P76)</f>
        <v>0</v>
      </c>
      <c r="R74" s="1246"/>
      <c r="S74" s="1246"/>
      <c r="T74" s="1246"/>
      <c r="U74" s="1247"/>
    </row>
    <row r="75" spans="2:26" ht="12.95" customHeight="1" x14ac:dyDescent="0.2">
      <c r="B75" s="80"/>
      <c r="C75" s="33"/>
      <c r="D75" s="33"/>
      <c r="E75" s="67"/>
      <c r="F75" s="67"/>
      <c r="G75" s="1079"/>
      <c r="H75" s="1079"/>
      <c r="I75" s="1079"/>
      <c r="J75" s="33"/>
      <c r="K75" s="33"/>
      <c r="L75" s="71" t="s">
        <v>1027</v>
      </c>
      <c r="M75" s="1483">
        <v>0</v>
      </c>
      <c r="N75" s="185" t="s">
        <v>259</v>
      </c>
      <c r="O75" s="1248">
        <v>15000</v>
      </c>
      <c r="P75" s="636">
        <f>O75*M75</f>
        <v>0</v>
      </c>
      <c r="R75" s="1246"/>
      <c r="S75" s="1246"/>
      <c r="T75" s="1246"/>
      <c r="U75" s="1247"/>
    </row>
    <row r="76" spans="2:26" ht="12.95" customHeight="1" x14ac:dyDescent="0.2">
      <c r="B76" s="80"/>
      <c r="C76" s="33"/>
      <c r="D76" s="33"/>
      <c r="E76" s="67"/>
      <c r="F76" s="67"/>
      <c r="G76" s="1079"/>
      <c r="H76" s="1079"/>
      <c r="I76" s="1079"/>
      <c r="J76" s="33"/>
      <c r="K76" s="33"/>
      <c r="L76" s="71" t="s">
        <v>1028</v>
      </c>
      <c r="M76" s="1483">
        <v>0</v>
      </c>
      <c r="N76" s="185" t="s">
        <v>259</v>
      </c>
      <c r="O76" s="1248">
        <v>7500</v>
      </c>
      <c r="P76" s="636">
        <f t="shared" ref="P76" si="5">O76*M76</f>
        <v>0</v>
      </c>
      <c r="R76" s="1246"/>
      <c r="S76" s="1246"/>
      <c r="T76" s="1246"/>
      <c r="U76" s="1247"/>
    </row>
    <row r="77" spans="2:26" ht="12.95" customHeight="1" x14ac:dyDescent="0.2">
      <c r="B77" s="84"/>
      <c r="C77" s="69"/>
      <c r="D77" s="69"/>
      <c r="E77" s="70"/>
      <c r="F77" s="70"/>
      <c r="G77" s="39"/>
      <c r="H77" s="373"/>
      <c r="I77" s="373"/>
      <c r="J77" s="68"/>
      <c r="K77" s="69"/>
      <c r="L77" s="2135"/>
      <c r="M77" s="1483"/>
      <c r="N77" s="185"/>
      <c r="O77" s="1248"/>
      <c r="P77" s="2136"/>
      <c r="R77" s="1246"/>
      <c r="S77" s="1246"/>
      <c r="T77" s="1246"/>
      <c r="U77" s="1247"/>
    </row>
    <row r="78" spans="2:26" ht="12.95" customHeight="1" x14ac:dyDescent="0.2">
      <c r="B78" s="80">
        <v>1</v>
      </c>
      <c r="C78" s="33" t="s">
        <v>440</v>
      </c>
      <c r="D78" s="33" t="s">
        <v>142</v>
      </c>
      <c r="E78" s="60">
        <v>18</v>
      </c>
      <c r="F78" s="60">
        <v>2</v>
      </c>
      <c r="G78" s="46">
        <v>5</v>
      </c>
      <c r="H78" s="46">
        <v>2</v>
      </c>
      <c r="I78" s="1079">
        <v>3</v>
      </c>
      <c r="J78" s="33"/>
      <c r="K78" s="1079"/>
      <c r="L78" s="25" t="s">
        <v>153</v>
      </c>
      <c r="M78" s="2038"/>
      <c r="N78" s="265"/>
      <c r="O78" s="268"/>
      <c r="P78" s="364">
        <f>P79+P83</f>
        <v>91150000</v>
      </c>
      <c r="R78" s="1246"/>
      <c r="S78" s="1246"/>
      <c r="T78" s="1246"/>
      <c r="U78" s="1247"/>
    </row>
    <row r="79" spans="2:26" ht="12.95" customHeight="1" x14ac:dyDescent="0.2">
      <c r="B79" s="355">
        <v>1</v>
      </c>
      <c r="C79" s="356" t="s">
        <v>440</v>
      </c>
      <c r="D79" s="356" t="s">
        <v>142</v>
      </c>
      <c r="E79" s="60">
        <v>18</v>
      </c>
      <c r="F79" s="60">
        <v>2</v>
      </c>
      <c r="G79" s="359">
        <v>5</v>
      </c>
      <c r="H79" s="359">
        <v>2</v>
      </c>
      <c r="I79" s="359">
        <v>3</v>
      </c>
      <c r="J79" s="356">
        <v>12</v>
      </c>
      <c r="K79" s="356"/>
      <c r="L79" s="1899" t="s">
        <v>422</v>
      </c>
      <c r="M79" s="1900"/>
      <c r="N79" s="1901"/>
      <c r="O79" s="1902"/>
      <c r="P79" s="364">
        <f>P80</f>
        <v>44800000</v>
      </c>
      <c r="R79" s="1246"/>
      <c r="S79" s="1246"/>
      <c r="T79" s="1246"/>
      <c r="U79" s="1247"/>
    </row>
    <row r="80" spans="2:26" ht="12.95" customHeight="1" x14ac:dyDescent="0.2">
      <c r="B80" s="355">
        <v>1</v>
      </c>
      <c r="C80" s="356" t="s">
        <v>440</v>
      </c>
      <c r="D80" s="356" t="s">
        <v>142</v>
      </c>
      <c r="E80" s="60">
        <v>18</v>
      </c>
      <c r="F80" s="60">
        <v>2</v>
      </c>
      <c r="G80" s="359">
        <v>5</v>
      </c>
      <c r="H80" s="359">
        <v>2</v>
      </c>
      <c r="I80" s="359">
        <v>3</v>
      </c>
      <c r="J80" s="356">
        <v>12</v>
      </c>
      <c r="K80" s="356" t="s">
        <v>164</v>
      </c>
      <c r="L80" s="400" t="s">
        <v>583</v>
      </c>
      <c r="M80" s="1900"/>
      <c r="N80" s="1901"/>
      <c r="O80" s="1902"/>
      <c r="P80" s="364">
        <f>SUM(P81)</f>
        <v>44800000</v>
      </c>
      <c r="R80" s="1246"/>
      <c r="S80" s="1246"/>
      <c r="T80" s="1246"/>
      <c r="U80" s="407"/>
      <c r="V80" s="1378"/>
      <c r="W80" s="1187"/>
      <c r="X80" s="1187"/>
      <c r="Y80" s="1188"/>
      <c r="Z80" s="1188"/>
    </row>
    <row r="81" spans="2:26" ht="12.95" customHeight="1" x14ac:dyDescent="0.2">
      <c r="B81" s="80"/>
      <c r="C81" s="33"/>
      <c r="D81" s="33"/>
      <c r="E81" s="60"/>
      <c r="F81" s="60"/>
      <c r="G81" s="1079"/>
      <c r="H81" s="1079"/>
      <c r="I81" s="1079"/>
      <c r="J81" s="33"/>
      <c r="K81" s="33"/>
      <c r="L81" s="1964" t="s">
        <v>482</v>
      </c>
      <c r="M81" s="1912">
        <v>4</v>
      </c>
      <c r="N81" s="1963" t="s">
        <v>841</v>
      </c>
      <c r="O81" s="1914">
        <v>11200000</v>
      </c>
      <c r="P81" s="267">
        <f>O81*M81</f>
        <v>44800000</v>
      </c>
      <c r="R81" s="1353"/>
      <c r="T81" s="721"/>
      <c r="U81" s="407"/>
      <c r="V81" s="1378"/>
      <c r="W81" s="1187"/>
      <c r="X81" s="1187"/>
      <c r="Y81" s="1188"/>
      <c r="Z81" s="1188"/>
    </row>
    <row r="82" spans="2:26" ht="12.95" customHeight="1" x14ac:dyDescent="0.2">
      <c r="B82" s="80"/>
      <c r="C82" s="33"/>
      <c r="D82" s="33"/>
      <c r="E82" s="60"/>
      <c r="F82" s="60"/>
      <c r="G82" s="1079"/>
      <c r="H82" s="1079"/>
      <c r="I82" s="1079"/>
      <c r="J82" s="33"/>
      <c r="K82" s="33"/>
      <c r="L82" s="2137"/>
      <c r="M82" s="1912"/>
      <c r="N82" s="1963"/>
      <c r="O82" s="1914"/>
      <c r="P82" s="267"/>
      <c r="R82" s="1353"/>
      <c r="T82" s="721"/>
      <c r="U82" s="407"/>
      <c r="V82" s="1378"/>
      <c r="W82" s="1187"/>
      <c r="X82" s="1187"/>
      <c r="Y82" s="1188"/>
      <c r="Z82" s="1188"/>
    </row>
    <row r="83" spans="2:26" ht="12.95" customHeight="1" x14ac:dyDescent="0.2">
      <c r="B83" s="355">
        <v>1</v>
      </c>
      <c r="C83" s="356" t="s">
        <v>440</v>
      </c>
      <c r="D83" s="356" t="s">
        <v>142</v>
      </c>
      <c r="E83" s="60">
        <v>18</v>
      </c>
      <c r="F83" s="60">
        <v>2</v>
      </c>
      <c r="G83" s="359">
        <v>5</v>
      </c>
      <c r="H83" s="359">
        <v>2</v>
      </c>
      <c r="I83" s="359">
        <v>3</v>
      </c>
      <c r="J83" s="356">
        <v>16</v>
      </c>
      <c r="K83" s="33"/>
      <c r="L83" s="401" t="s">
        <v>1030</v>
      </c>
      <c r="M83" s="1912"/>
      <c r="N83" s="1963"/>
      <c r="O83" s="1914"/>
      <c r="P83" s="269">
        <f>P84+P86</f>
        <v>46350000</v>
      </c>
      <c r="R83" s="725"/>
      <c r="U83" s="407"/>
      <c r="V83" s="1378"/>
      <c r="W83" s="1187"/>
      <c r="X83" s="1187"/>
      <c r="Y83" s="1188"/>
      <c r="Z83" s="1188"/>
    </row>
    <row r="84" spans="2:26" ht="12.95" customHeight="1" x14ac:dyDescent="0.2">
      <c r="B84" s="355">
        <v>1</v>
      </c>
      <c r="C84" s="356" t="s">
        <v>440</v>
      </c>
      <c r="D84" s="356" t="s">
        <v>142</v>
      </c>
      <c r="E84" s="60">
        <v>18</v>
      </c>
      <c r="F84" s="60">
        <v>2</v>
      </c>
      <c r="G84" s="359">
        <v>5</v>
      </c>
      <c r="H84" s="359">
        <v>2</v>
      </c>
      <c r="I84" s="359">
        <v>3</v>
      </c>
      <c r="J84" s="356">
        <v>16</v>
      </c>
      <c r="K84" s="33" t="s">
        <v>142</v>
      </c>
      <c r="L84" s="1739" t="s">
        <v>939</v>
      </c>
      <c r="M84" s="1912"/>
      <c r="N84" s="1963"/>
      <c r="O84" s="1914"/>
      <c r="P84" s="1594">
        <f>SUM(P85)</f>
        <v>30000000</v>
      </c>
      <c r="U84" s="407"/>
      <c r="V84" s="1378"/>
      <c r="W84" s="1187"/>
      <c r="X84" s="1187"/>
      <c r="Y84" s="1188"/>
      <c r="Z84" s="1188"/>
    </row>
    <row r="85" spans="2:26" ht="12.95" customHeight="1" x14ac:dyDescent="0.2">
      <c r="B85" s="80"/>
      <c r="C85" s="33"/>
      <c r="D85" s="33"/>
      <c r="E85" s="60"/>
      <c r="F85" s="60"/>
      <c r="G85" s="1079"/>
      <c r="H85" s="1079"/>
      <c r="I85" s="1079"/>
      <c r="J85" s="33"/>
      <c r="K85" s="33"/>
      <c r="L85" s="1740" t="s">
        <v>1253</v>
      </c>
      <c r="M85" s="1912">
        <v>3</v>
      </c>
      <c r="N85" s="1963" t="s">
        <v>841</v>
      </c>
      <c r="O85" s="1914">
        <v>10000000</v>
      </c>
      <c r="P85" s="267">
        <f t="shared" ref="P85:P87" si="6">O85*M85</f>
        <v>30000000</v>
      </c>
      <c r="U85" s="407"/>
      <c r="V85" s="1378"/>
      <c r="W85" s="1187"/>
      <c r="X85" s="1187"/>
      <c r="Y85" s="1188"/>
      <c r="Z85" s="1188"/>
    </row>
    <row r="86" spans="2:26" ht="12.95" customHeight="1" x14ac:dyDescent="0.2">
      <c r="B86" s="355">
        <v>1</v>
      </c>
      <c r="C86" s="356" t="s">
        <v>440</v>
      </c>
      <c r="D86" s="356" t="s">
        <v>142</v>
      </c>
      <c r="E86" s="60">
        <v>18</v>
      </c>
      <c r="F86" s="60">
        <v>2</v>
      </c>
      <c r="G86" s="359">
        <v>5</v>
      </c>
      <c r="H86" s="359">
        <v>2</v>
      </c>
      <c r="I86" s="359">
        <v>3</v>
      </c>
      <c r="J86" s="356">
        <v>16</v>
      </c>
      <c r="K86" s="33" t="s">
        <v>181</v>
      </c>
      <c r="L86" s="1739" t="s">
        <v>1031</v>
      </c>
      <c r="M86" s="1912"/>
      <c r="N86" s="1963"/>
      <c r="O86" s="1914"/>
      <c r="P86" s="1594">
        <f>SUM(P87:P91)</f>
        <v>16350000</v>
      </c>
      <c r="U86" s="407"/>
      <c r="V86" s="1378"/>
      <c r="W86" s="1187"/>
      <c r="X86" s="1187"/>
      <c r="Y86" s="1188"/>
      <c r="Z86" s="1188"/>
    </row>
    <row r="87" spans="2:26" ht="12.95" customHeight="1" x14ac:dyDescent="0.2">
      <c r="B87" s="80"/>
      <c r="C87" s="33"/>
      <c r="D87" s="33"/>
      <c r="E87" s="60"/>
      <c r="F87" s="60"/>
      <c r="G87" s="1079"/>
      <c r="H87" s="1079"/>
      <c r="I87" s="1079"/>
      <c r="J87" s="33"/>
      <c r="K87" s="33"/>
      <c r="L87" s="1740" t="s">
        <v>1254</v>
      </c>
      <c r="M87" s="1912">
        <v>1</v>
      </c>
      <c r="N87" s="1963" t="s">
        <v>841</v>
      </c>
      <c r="O87" s="1914">
        <v>1200000</v>
      </c>
      <c r="P87" s="267">
        <f t="shared" si="6"/>
        <v>1200000</v>
      </c>
      <c r="U87" s="407"/>
      <c r="V87" s="1378"/>
      <c r="W87" s="1187"/>
      <c r="X87" s="1187"/>
      <c r="Y87" s="1188"/>
      <c r="Z87" s="1188"/>
    </row>
    <row r="88" spans="2:26" ht="12.95" customHeight="1" x14ac:dyDescent="0.2">
      <c r="B88" s="80"/>
      <c r="C88" s="33"/>
      <c r="D88" s="33"/>
      <c r="E88" s="60"/>
      <c r="F88" s="60"/>
      <c r="G88" s="1079"/>
      <c r="H88" s="1079"/>
      <c r="I88" s="1079"/>
      <c r="J88" s="33"/>
      <c r="K88" s="33"/>
      <c r="L88" s="1964" t="s">
        <v>1255</v>
      </c>
      <c r="M88" s="1912">
        <v>1</v>
      </c>
      <c r="N88" s="1963" t="s">
        <v>841</v>
      </c>
      <c r="O88" s="1914">
        <v>9000000</v>
      </c>
      <c r="P88" s="267">
        <f>O88*M88</f>
        <v>9000000</v>
      </c>
      <c r="Q88" s="1254"/>
      <c r="U88" s="407"/>
      <c r="V88" s="1378"/>
      <c r="W88" s="1187"/>
      <c r="X88" s="1187"/>
      <c r="Y88" s="1188"/>
      <c r="Z88" s="1188"/>
    </row>
    <row r="89" spans="2:26" ht="12.95" customHeight="1" x14ac:dyDescent="0.2">
      <c r="B89" s="84"/>
      <c r="C89" s="69"/>
      <c r="D89" s="69"/>
      <c r="E89" s="70"/>
      <c r="F89" s="70"/>
      <c r="G89" s="39"/>
      <c r="H89" s="373"/>
      <c r="I89" s="373"/>
      <c r="J89" s="68"/>
      <c r="K89" s="69"/>
      <c r="L89" s="1964" t="s">
        <v>1256</v>
      </c>
      <c r="M89" s="1912">
        <v>1</v>
      </c>
      <c r="N89" s="1963" t="s">
        <v>841</v>
      </c>
      <c r="O89" s="1248">
        <v>1150000</v>
      </c>
      <c r="P89" s="2136">
        <f>O89*M89</f>
        <v>1150000</v>
      </c>
      <c r="Q89" s="133"/>
      <c r="U89" s="407"/>
      <c r="V89" s="1378"/>
      <c r="W89" s="1187"/>
      <c r="X89" s="1187"/>
      <c r="Y89" s="1188"/>
      <c r="Z89" s="1188"/>
    </row>
    <row r="90" spans="2:26" ht="12.95" customHeight="1" x14ac:dyDescent="0.2">
      <c r="B90" s="84"/>
      <c r="C90" s="69"/>
      <c r="D90" s="69"/>
      <c r="E90" s="70"/>
      <c r="F90" s="70"/>
      <c r="G90" s="39"/>
      <c r="H90" s="373"/>
      <c r="I90" s="373"/>
      <c r="J90" s="68"/>
      <c r="K90" s="69"/>
      <c r="L90" s="1964" t="s">
        <v>1257</v>
      </c>
      <c r="M90" s="1912">
        <v>1</v>
      </c>
      <c r="N90" s="1963" t="s">
        <v>841</v>
      </c>
      <c r="O90" s="1248">
        <v>4000000</v>
      </c>
      <c r="P90" s="2136">
        <f>O90*M90</f>
        <v>4000000</v>
      </c>
      <c r="Q90" s="170"/>
      <c r="S90" s="1240"/>
      <c r="U90" s="407"/>
      <c r="V90" s="1378"/>
      <c r="W90" s="1187"/>
      <c r="X90" s="1187"/>
      <c r="Y90" s="1188"/>
      <c r="Z90" s="1188"/>
    </row>
    <row r="91" spans="2:26" ht="12.95" customHeight="1" x14ac:dyDescent="0.2">
      <c r="B91" s="84"/>
      <c r="C91" s="69"/>
      <c r="D91" s="69"/>
      <c r="E91" s="70"/>
      <c r="F91" s="70"/>
      <c r="G91" s="39"/>
      <c r="H91" s="373"/>
      <c r="I91" s="373"/>
      <c r="J91" s="68"/>
      <c r="K91" s="69"/>
      <c r="L91" s="1964" t="s">
        <v>1258</v>
      </c>
      <c r="M91" s="1912">
        <v>1</v>
      </c>
      <c r="N91" s="1963" t="s">
        <v>841</v>
      </c>
      <c r="O91" s="1248">
        <v>1000000</v>
      </c>
      <c r="P91" s="2136">
        <f>O91*M91</f>
        <v>1000000</v>
      </c>
      <c r="Q91" s="131"/>
      <c r="S91" s="1240"/>
      <c r="U91" s="407"/>
      <c r="V91" s="1378"/>
      <c r="W91" s="1187"/>
      <c r="X91" s="1187"/>
      <c r="Y91" s="1188"/>
      <c r="Z91" s="1188"/>
    </row>
    <row r="92" spans="2:26" ht="12.95" customHeight="1" x14ac:dyDescent="0.2">
      <c r="B92" s="84"/>
      <c r="C92" s="39"/>
      <c r="D92" s="39"/>
      <c r="E92" s="39"/>
      <c r="F92" s="39"/>
      <c r="G92" s="39"/>
      <c r="H92" s="373"/>
      <c r="I92" s="102"/>
      <c r="J92" s="141"/>
      <c r="K92" s="69"/>
      <c r="L92" s="650"/>
      <c r="M92" s="1348"/>
      <c r="N92" s="265"/>
      <c r="O92" s="1495"/>
      <c r="P92" s="1250"/>
      <c r="U92" s="407"/>
      <c r="V92" s="1378"/>
      <c r="W92" s="1187"/>
      <c r="X92" s="1187"/>
      <c r="Y92" s="1188"/>
      <c r="Z92" s="1188"/>
    </row>
    <row r="93" spans="2:26" ht="12.95" customHeight="1" thickBot="1" x14ac:dyDescent="0.25">
      <c r="B93" s="2855" t="s">
        <v>39</v>
      </c>
      <c r="C93" s="2856"/>
      <c r="D93" s="2856"/>
      <c r="E93" s="2856"/>
      <c r="F93" s="2856"/>
      <c r="G93" s="2856"/>
      <c r="H93" s="2856"/>
      <c r="I93" s="2856"/>
      <c r="J93" s="2856"/>
      <c r="K93" s="2856"/>
      <c r="L93" s="2856"/>
      <c r="M93" s="2856"/>
      <c r="N93" s="2856"/>
      <c r="O93" s="2857"/>
      <c r="P93" s="273">
        <f>P30</f>
        <v>302444220</v>
      </c>
      <c r="U93" s="407"/>
      <c r="V93" s="1378"/>
      <c r="W93" s="1187"/>
      <c r="X93" s="1187"/>
      <c r="Y93" s="1188"/>
      <c r="Z93" s="1188"/>
    </row>
    <row r="94" spans="2:26" ht="12.95" customHeight="1" thickTop="1" x14ac:dyDescent="0.2">
      <c r="B94" s="932"/>
      <c r="C94" s="729"/>
      <c r="D94" s="729"/>
      <c r="E94" s="729"/>
      <c r="F94" s="729"/>
      <c r="G94" s="729"/>
      <c r="H94" s="729"/>
      <c r="I94" s="729"/>
      <c r="J94" s="729"/>
      <c r="K94" s="729"/>
      <c r="L94" s="1379"/>
      <c r="M94" s="1379"/>
      <c r="N94" s="1379"/>
      <c r="O94" s="1379"/>
      <c r="P94" s="1381"/>
      <c r="U94" s="407"/>
      <c r="V94" s="1378"/>
      <c r="W94" s="1187"/>
      <c r="X94" s="1187"/>
      <c r="Y94" s="1188"/>
      <c r="Z94" s="1188"/>
    </row>
    <row r="95" spans="2:26" ht="12.95" customHeight="1" x14ac:dyDescent="0.2">
      <c r="B95" s="170"/>
      <c r="C95" s="131"/>
      <c r="D95" s="131"/>
      <c r="E95" s="131"/>
      <c r="F95" s="131"/>
      <c r="G95" s="131"/>
      <c r="H95" s="131"/>
      <c r="I95" s="131"/>
      <c r="J95" s="131"/>
      <c r="K95" s="131"/>
      <c r="L95" s="144"/>
      <c r="M95" s="2506" t="str">
        <f>'RECAP APBD'!E43</f>
        <v>Banda Aceh,                   2020</v>
      </c>
      <c r="N95" s="2506"/>
      <c r="O95" s="2506"/>
      <c r="P95" s="2507"/>
      <c r="U95" s="407"/>
      <c r="V95" s="1378"/>
      <c r="W95" s="1187"/>
      <c r="X95" s="1187"/>
      <c r="Y95" s="1188"/>
      <c r="Z95" s="1188"/>
    </row>
    <row r="96" spans="2:26" ht="12.95" customHeight="1" x14ac:dyDescent="0.2">
      <c r="B96" s="170"/>
      <c r="C96" s="131"/>
      <c r="D96" s="131"/>
      <c r="E96" s="131"/>
      <c r="F96" s="131"/>
      <c r="G96" s="131"/>
      <c r="H96" s="131"/>
      <c r="I96" s="131"/>
      <c r="J96" s="131"/>
      <c r="K96" s="131"/>
      <c r="L96" s="131"/>
      <c r="M96" s="2449" t="str">
        <f>'RECAP APBD'!E44</f>
        <v>Pengguna Anggaran</v>
      </c>
      <c r="N96" s="2449"/>
      <c r="O96" s="2449"/>
      <c r="P96" s="2600"/>
      <c r="U96" s="407"/>
      <c r="V96" s="1378"/>
      <c r="W96" s="1187"/>
      <c r="X96" s="1187"/>
      <c r="Y96" s="1188"/>
      <c r="Z96" s="1188"/>
    </row>
    <row r="97" spans="2:26" ht="12.95" customHeight="1" x14ac:dyDescent="0.2">
      <c r="B97" s="170"/>
      <c r="C97" s="131"/>
      <c r="D97" s="131"/>
      <c r="E97" s="131"/>
      <c r="F97" s="131"/>
      <c r="G97" s="131"/>
      <c r="H97" s="131"/>
      <c r="I97" s="131"/>
      <c r="J97" s="131"/>
      <c r="K97" s="131"/>
      <c r="L97" s="131"/>
      <c r="M97" s="2449" t="str">
        <f>'RECAP APBD'!E45</f>
        <v>Satuan Kerja Perangkat Daerah</v>
      </c>
      <c r="N97" s="2449"/>
      <c r="O97" s="2449"/>
      <c r="P97" s="2600"/>
      <c r="U97" s="407"/>
      <c r="V97" s="1378"/>
      <c r="W97" s="1187"/>
      <c r="X97" s="1187"/>
      <c r="Y97" s="1188"/>
      <c r="Z97" s="1188"/>
    </row>
    <row r="98" spans="2:26" ht="12.95" customHeight="1" x14ac:dyDescent="0.2">
      <c r="B98" s="170"/>
      <c r="C98" s="131"/>
      <c r="D98" s="131"/>
      <c r="E98" s="131"/>
      <c r="F98" s="131"/>
      <c r="G98" s="131"/>
      <c r="H98" s="131"/>
      <c r="I98" s="131"/>
      <c r="J98" s="131"/>
      <c r="K98" s="131"/>
      <c r="L98" s="2037"/>
      <c r="M98" s="2039"/>
      <c r="N98" s="2782"/>
      <c r="O98" s="2782"/>
      <c r="P98" s="2783"/>
      <c r="U98" s="407"/>
      <c r="V98" s="1378"/>
      <c r="W98" s="1187"/>
      <c r="X98" s="1187"/>
      <c r="Y98" s="1188"/>
      <c r="Z98" s="1188"/>
    </row>
    <row r="99" spans="2:26" ht="12.95" customHeight="1" x14ac:dyDescent="0.2">
      <c r="B99" s="170"/>
      <c r="C99" s="131"/>
      <c r="D99" s="131"/>
      <c r="E99" s="131"/>
      <c r="F99" s="131"/>
      <c r="G99" s="131"/>
      <c r="H99" s="131"/>
      <c r="I99" s="131"/>
      <c r="J99" s="131"/>
      <c r="K99" s="131"/>
      <c r="L99" s="1221"/>
      <c r="M99" s="2039"/>
      <c r="N99" s="2782"/>
      <c r="O99" s="2782"/>
      <c r="P99" s="2783"/>
      <c r="U99" s="407"/>
      <c r="V99" s="1378"/>
      <c r="W99" s="1187"/>
      <c r="X99" s="1187"/>
      <c r="Y99" s="1188"/>
      <c r="Z99" s="1188"/>
    </row>
    <row r="100" spans="2:26" ht="12.95" customHeight="1" x14ac:dyDescent="0.2">
      <c r="B100" s="170"/>
      <c r="C100" s="131"/>
      <c r="D100" s="131"/>
      <c r="E100" s="131"/>
      <c r="F100" s="131"/>
      <c r="G100" s="131"/>
      <c r="H100" s="131"/>
      <c r="I100" s="131"/>
      <c r="J100" s="131"/>
      <c r="K100" s="131"/>
      <c r="L100" s="22"/>
      <c r="M100" s="2449" t="str">
        <f>'RECAP APBD'!E48</f>
        <v>Bustami, SH</v>
      </c>
      <c r="N100" s="2449"/>
      <c r="O100" s="2449"/>
      <c r="P100" s="2600"/>
      <c r="Q100" s="1255"/>
      <c r="R100" s="1256"/>
      <c r="S100" s="1071"/>
      <c r="T100" s="1257"/>
      <c r="U100" s="407"/>
      <c r="V100" s="1378"/>
      <c r="W100" s="1187"/>
      <c r="X100" s="1187"/>
      <c r="Y100" s="1188"/>
      <c r="Z100" s="1188"/>
    </row>
    <row r="101" spans="2:26" ht="12.95" customHeight="1" x14ac:dyDescent="0.2">
      <c r="B101" s="731"/>
      <c r="C101" s="732"/>
      <c r="D101" s="732"/>
      <c r="E101" s="732"/>
      <c r="F101" s="732"/>
      <c r="G101" s="732"/>
      <c r="H101" s="732"/>
      <c r="I101" s="732"/>
      <c r="J101" s="732"/>
      <c r="K101" s="732"/>
      <c r="L101" s="732"/>
      <c r="M101" s="2449" t="str">
        <f>'RECAP APBD'!E49</f>
        <v>Pembina Utama Muda / Nip. 19630824 198703 1 004</v>
      </c>
      <c r="N101" s="2449"/>
      <c r="O101" s="2449"/>
      <c r="P101" s="2600"/>
      <c r="Q101" s="1255"/>
      <c r="R101" s="1256"/>
      <c r="S101" s="1058"/>
      <c r="T101" s="1257"/>
      <c r="U101" s="407"/>
      <c r="V101" s="1378"/>
      <c r="W101" s="1187"/>
      <c r="X101" s="1187"/>
      <c r="Y101" s="1188"/>
      <c r="Z101" s="1188"/>
    </row>
    <row r="102" spans="2:26" ht="12.95" customHeight="1" x14ac:dyDescent="0.2">
      <c r="B102" s="2501" t="s">
        <v>140</v>
      </c>
      <c r="C102" s="2502"/>
      <c r="D102" s="2502"/>
      <c r="E102" s="2502"/>
      <c r="F102" s="2502"/>
      <c r="G102" s="2502"/>
      <c r="H102" s="2502"/>
      <c r="I102" s="2502"/>
      <c r="J102" s="2502"/>
      <c r="K102" s="2502"/>
      <c r="L102" s="2502"/>
      <c r="M102" s="2513"/>
      <c r="N102" s="2513"/>
      <c r="O102" s="2513"/>
      <c r="P102" s="2514"/>
      <c r="Q102" s="1255"/>
      <c r="R102" s="1256"/>
      <c r="S102" s="1058"/>
      <c r="T102" s="1257"/>
    </row>
    <row r="103" spans="2:26" ht="12.95" customHeight="1" x14ac:dyDescent="0.2">
      <c r="B103" s="2501" t="s">
        <v>22</v>
      </c>
      <c r="C103" s="2502"/>
      <c r="D103" s="2502"/>
      <c r="E103" s="2502"/>
      <c r="F103" s="2502"/>
      <c r="G103" s="2502"/>
      <c r="H103" s="2502"/>
      <c r="I103" s="2502"/>
      <c r="J103" s="2502"/>
      <c r="K103" s="2502"/>
      <c r="L103" s="2502"/>
      <c r="M103" s="251"/>
      <c r="N103" s="2508"/>
      <c r="O103" s="2508"/>
      <c r="P103" s="2509"/>
      <c r="Q103" s="1258"/>
      <c r="R103" s="1259"/>
      <c r="S103" s="1058"/>
      <c r="T103" s="1257"/>
      <c r="Z103" s="725"/>
    </row>
    <row r="104" spans="2:26" ht="12.95" customHeight="1" x14ac:dyDescent="0.2">
      <c r="B104" s="2501" t="s">
        <v>21</v>
      </c>
      <c r="C104" s="2502"/>
      <c r="D104" s="2502"/>
      <c r="E104" s="2502"/>
      <c r="F104" s="2502"/>
      <c r="G104" s="2502"/>
      <c r="H104" s="2502"/>
      <c r="I104" s="2502"/>
      <c r="J104" s="2502"/>
      <c r="K104" s="2502"/>
      <c r="L104" s="2502"/>
      <c r="M104" s="251"/>
      <c r="N104" s="2503"/>
      <c r="O104" s="2503"/>
      <c r="P104" s="2504"/>
      <c r="Q104" s="1258"/>
      <c r="R104" s="1259"/>
      <c r="S104" s="1058"/>
      <c r="T104" s="1257"/>
    </row>
    <row r="105" spans="2:26" ht="12.95" customHeight="1" x14ac:dyDescent="0.2">
      <c r="B105" s="2501" t="s">
        <v>204</v>
      </c>
      <c r="C105" s="2502"/>
      <c r="D105" s="2502"/>
      <c r="E105" s="2502"/>
      <c r="F105" s="2502"/>
      <c r="G105" s="2502"/>
      <c r="H105" s="2502"/>
      <c r="I105" s="2502"/>
      <c r="J105" s="2502"/>
      <c r="K105" s="2502"/>
      <c r="L105" s="2502"/>
      <c r="M105" s="2502"/>
      <c r="N105" s="2502"/>
      <c r="O105" s="2502"/>
      <c r="P105" s="2505"/>
      <c r="Q105" s="1258"/>
      <c r="R105" s="1259"/>
      <c r="S105" s="1058"/>
      <c r="T105" s="1260"/>
    </row>
    <row r="106" spans="2:26" ht="12.95" customHeight="1" x14ac:dyDescent="0.2">
      <c r="B106" s="2501" t="s">
        <v>205</v>
      </c>
      <c r="C106" s="2502"/>
      <c r="D106" s="2502"/>
      <c r="E106" s="2502"/>
      <c r="F106" s="2502"/>
      <c r="G106" s="2502"/>
      <c r="H106" s="2502"/>
      <c r="I106" s="2502"/>
      <c r="J106" s="2502"/>
      <c r="K106" s="2502"/>
      <c r="L106" s="2502"/>
      <c r="M106" s="2502"/>
      <c r="N106" s="2502"/>
      <c r="O106" s="2502"/>
      <c r="P106" s="2505"/>
      <c r="Q106" s="1258"/>
      <c r="R106" s="1259"/>
      <c r="S106" s="1058"/>
      <c r="T106" s="1260"/>
    </row>
    <row r="107" spans="2:26" ht="18" customHeight="1" thickBot="1" x14ac:dyDescent="0.25">
      <c r="B107" s="2517" t="s">
        <v>206</v>
      </c>
      <c r="C107" s="2518"/>
      <c r="D107" s="2518"/>
      <c r="E107" s="2518"/>
      <c r="F107" s="2518"/>
      <c r="G107" s="2518"/>
      <c r="H107" s="2518"/>
      <c r="I107" s="2518"/>
      <c r="J107" s="2518"/>
      <c r="K107" s="2518"/>
      <c r="L107" s="2518"/>
      <c r="M107" s="2518"/>
      <c r="N107" s="2518"/>
      <c r="O107" s="2518"/>
      <c r="P107" s="2519"/>
    </row>
    <row r="108" spans="2:26" ht="18" customHeight="1" thickTop="1" x14ac:dyDescent="0.2">
      <c r="B108" s="2523" t="s">
        <v>25</v>
      </c>
      <c r="C108" s="2524"/>
      <c r="D108" s="2524"/>
      <c r="E108" s="2524"/>
      <c r="F108" s="2524"/>
      <c r="G108" s="2524"/>
      <c r="H108" s="2524"/>
      <c r="I108" s="2524"/>
      <c r="J108" s="2524"/>
      <c r="K108" s="2524"/>
      <c r="L108" s="2524"/>
      <c r="M108" s="2524"/>
      <c r="N108" s="2524"/>
      <c r="O108" s="2524"/>
      <c r="P108" s="2525"/>
    </row>
    <row r="109" spans="2:26" ht="18" customHeight="1" thickBot="1" x14ac:dyDescent="0.25">
      <c r="B109" s="2526" t="s">
        <v>207</v>
      </c>
      <c r="C109" s="2527"/>
      <c r="D109" s="2528" t="s">
        <v>208</v>
      </c>
      <c r="E109" s="2529"/>
      <c r="F109" s="2529"/>
      <c r="G109" s="2529"/>
      <c r="H109" s="2529"/>
      <c r="I109" s="2529"/>
      <c r="J109" s="2529"/>
      <c r="K109" s="2529"/>
      <c r="L109" s="2530"/>
      <c r="M109" s="2531" t="s">
        <v>209</v>
      </c>
      <c r="N109" s="2530"/>
      <c r="O109" s="4" t="s">
        <v>210</v>
      </c>
      <c r="P109" s="92" t="s">
        <v>211</v>
      </c>
    </row>
    <row r="110" spans="2:26" ht="18" customHeight="1" thickTop="1" x14ac:dyDescent="0.2">
      <c r="B110" s="2535">
        <v>1</v>
      </c>
      <c r="C110" s="2536"/>
      <c r="D110" s="2532"/>
      <c r="E110" s="2533"/>
      <c r="F110" s="2533"/>
      <c r="G110" s="2533"/>
      <c r="H110" s="2533"/>
      <c r="I110" s="2533"/>
      <c r="J110" s="2533"/>
      <c r="K110" s="2533"/>
      <c r="L110" s="2534"/>
      <c r="M110" s="2538"/>
      <c r="N110" s="2539"/>
      <c r="O110" s="1073"/>
      <c r="P110" s="1177" t="s">
        <v>10</v>
      </c>
    </row>
    <row r="111" spans="2:26" ht="18" customHeight="1" x14ac:dyDescent="0.2">
      <c r="B111" s="2522">
        <v>2</v>
      </c>
      <c r="C111" s="2240"/>
      <c r="D111" s="1116"/>
      <c r="E111" s="1117"/>
      <c r="F111" s="1117"/>
      <c r="G111" s="1117"/>
      <c r="H111" s="1117"/>
      <c r="I111" s="1117"/>
      <c r="J111" s="1117"/>
      <c r="K111" s="1117"/>
      <c r="L111" s="1118"/>
      <c r="M111" s="2442"/>
      <c r="N111" s="2247"/>
      <c r="O111" s="1085"/>
      <c r="P111" s="1177" t="s">
        <v>11</v>
      </c>
    </row>
    <row r="112" spans="2:26" ht="14.25" x14ac:dyDescent="0.2">
      <c r="B112" s="2522">
        <v>3</v>
      </c>
      <c r="C112" s="2240"/>
      <c r="D112" s="1116"/>
      <c r="E112" s="1117"/>
      <c r="F112" s="1117"/>
      <c r="G112" s="1117"/>
      <c r="H112" s="1117"/>
      <c r="I112" s="1117"/>
      <c r="J112" s="1117"/>
      <c r="K112" s="1117"/>
      <c r="L112" s="1118"/>
      <c r="M112" s="2442"/>
      <c r="N112" s="2247"/>
      <c r="O112" s="1085"/>
      <c r="P112" s="1177" t="s">
        <v>12</v>
      </c>
    </row>
    <row r="113" spans="2:16" ht="14.25" x14ac:dyDescent="0.2">
      <c r="B113" s="2522">
        <v>4</v>
      </c>
      <c r="C113" s="2240"/>
      <c r="D113" s="1116"/>
      <c r="E113" s="1117"/>
      <c r="F113" s="1117"/>
      <c r="G113" s="1117"/>
      <c r="H113" s="1117"/>
      <c r="I113" s="1117"/>
      <c r="J113" s="1117"/>
      <c r="K113" s="1117"/>
      <c r="L113" s="1118"/>
      <c r="M113" s="2443"/>
      <c r="N113" s="2253"/>
      <c r="O113" s="1085"/>
      <c r="P113" s="1177" t="s">
        <v>13</v>
      </c>
    </row>
    <row r="114" spans="2:16" ht="14.25" x14ac:dyDescent="0.2">
      <c r="B114" s="2522">
        <v>5</v>
      </c>
      <c r="C114" s="2240"/>
      <c r="D114" s="1116"/>
      <c r="E114" s="1117"/>
      <c r="F114" s="1117"/>
      <c r="G114" s="1117"/>
      <c r="H114" s="1117"/>
      <c r="I114" s="1117"/>
      <c r="J114" s="1117"/>
      <c r="K114" s="1117"/>
      <c r="L114" s="1118"/>
      <c r="M114" s="2443"/>
      <c r="N114" s="2253"/>
      <c r="O114" s="1085"/>
      <c r="P114" s="1177" t="s">
        <v>14</v>
      </c>
    </row>
    <row r="115" spans="2:16" ht="14.25" x14ac:dyDescent="0.2">
      <c r="B115" s="2522">
        <v>6</v>
      </c>
      <c r="C115" s="2240"/>
      <c r="D115" s="1116"/>
      <c r="E115" s="1117"/>
      <c r="F115" s="1117"/>
      <c r="G115" s="1117"/>
      <c r="H115" s="1117"/>
      <c r="I115" s="1117"/>
      <c r="J115" s="1117"/>
      <c r="K115" s="1117"/>
      <c r="L115" s="1118"/>
      <c r="M115" s="2443"/>
      <c r="N115" s="2253"/>
      <c r="O115" s="1085"/>
      <c r="P115" s="1178" t="s">
        <v>42</v>
      </c>
    </row>
    <row r="116" spans="2:16" ht="26.25" thickBot="1" x14ac:dyDescent="0.25">
      <c r="B116" s="2520">
        <v>7</v>
      </c>
      <c r="C116" s="2521"/>
      <c r="D116" s="1119"/>
      <c r="E116" s="1120"/>
      <c r="F116" s="1120"/>
      <c r="G116" s="1120"/>
      <c r="H116" s="1120"/>
      <c r="I116" s="1120"/>
      <c r="J116" s="1120"/>
      <c r="K116" s="1120"/>
      <c r="L116" s="1121"/>
      <c r="M116" s="2537"/>
      <c r="N116" s="2300"/>
      <c r="O116" s="1061"/>
      <c r="P116" s="1179" t="s">
        <v>487</v>
      </c>
    </row>
    <row r="117" spans="2:16" ht="13.5" thickTop="1" x14ac:dyDescent="0.2">
      <c r="B117" s="730"/>
      <c r="C117" s="730"/>
      <c r="D117" s="730"/>
      <c r="E117" s="730"/>
      <c r="F117" s="730"/>
      <c r="G117" s="730"/>
      <c r="H117" s="730"/>
      <c r="I117" s="730"/>
      <c r="J117" s="730"/>
      <c r="K117" s="730"/>
      <c r="L117" s="730"/>
      <c r="M117" s="730"/>
      <c r="N117" s="730"/>
      <c r="O117" s="730"/>
      <c r="P117" s="730"/>
    </row>
    <row r="118" spans="2:16" x14ac:dyDescent="0.2">
      <c r="B118" s="730"/>
      <c r="C118" s="730"/>
      <c r="D118" s="730"/>
      <c r="E118" s="730"/>
      <c r="F118" s="730"/>
      <c r="G118" s="730"/>
      <c r="H118" s="730"/>
      <c r="I118" s="730"/>
      <c r="J118" s="730"/>
      <c r="K118" s="730"/>
      <c r="L118" s="730"/>
      <c r="M118" s="730"/>
      <c r="N118" s="730"/>
      <c r="O118" s="730"/>
      <c r="P118" s="730"/>
    </row>
    <row r="119" spans="2:16" x14ac:dyDescent="0.2">
      <c r="B119" s="730"/>
      <c r="C119" s="730"/>
      <c r="D119" s="730"/>
      <c r="E119" s="730"/>
      <c r="F119" s="730"/>
      <c r="G119" s="730"/>
      <c r="H119" s="730"/>
      <c r="I119" s="730"/>
      <c r="J119" s="730"/>
      <c r="K119" s="730"/>
      <c r="L119" s="730"/>
      <c r="M119" s="730"/>
      <c r="N119" s="730"/>
      <c r="O119" s="730"/>
      <c r="P119" s="730"/>
    </row>
    <row r="120" spans="2:16" x14ac:dyDescent="0.2">
      <c r="B120" s="730"/>
      <c r="C120" s="730"/>
      <c r="D120" s="730"/>
      <c r="E120" s="730"/>
      <c r="F120" s="730"/>
      <c r="G120" s="730"/>
      <c r="H120" s="730"/>
      <c r="I120" s="730"/>
      <c r="J120" s="730"/>
      <c r="K120" s="730"/>
      <c r="L120" s="730"/>
      <c r="M120" s="730"/>
      <c r="N120" s="730"/>
      <c r="O120" s="730"/>
      <c r="P120" s="730"/>
    </row>
    <row r="121" spans="2:16" x14ac:dyDescent="0.2">
      <c r="B121" s="730"/>
      <c r="C121" s="730"/>
      <c r="D121" s="730"/>
      <c r="E121" s="730"/>
      <c r="F121" s="730"/>
      <c r="G121" s="730"/>
      <c r="H121" s="730"/>
      <c r="I121" s="730"/>
      <c r="J121" s="730"/>
      <c r="K121" s="730"/>
      <c r="L121" s="730"/>
      <c r="M121" s="730"/>
      <c r="N121" s="730"/>
      <c r="O121" s="730"/>
      <c r="P121" s="730"/>
    </row>
    <row r="122" spans="2:16" x14ac:dyDescent="0.2">
      <c r="B122" s="730"/>
      <c r="C122" s="730"/>
      <c r="D122" s="730"/>
      <c r="E122" s="730"/>
      <c r="F122" s="730"/>
      <c r="G122" s="730"/>
      <c r="H122" s="730"/>
      <c r="I122" s="730"/>
      <c r="J122" s="730"/>
      <c r="K122" s="730"/>
      <c r="L122" s="730"/>
      <c r="M122" s="730"/>
      <c r="N122" s="730"/>
      <c r="O122" s="730"/>
      <c r="P122" s="730"/>
    </row>
    <row r="123" spans="2:16" x14ac:dyDescent="0.2">
      <c r="B123" s="730"/>
      <c r="C123" s="730"/>
      <c r="D123" s="730"/>
      <c r="E123" s="730"/>
      <c r="F123" s="730"/>
      <c r="G123" s="730"/>
      <c r="H123" s="730"/>
      <c r="I123" s="730"/>
      <c r="J123" s="730"/>
      <c r="K123" s="730"/>
      <c r="L123" s="730"/>
      <c r="M123" s="730"/>
      <c r="N123" s="730"/>
      <c r="O123" s="730"/>
      <c r="P123" s="730"/>
    </row>
    <row r="124" spans="2:16" x14ac:dyDescent="0.2">
      <c r="B124" s="730"/>
      <c r="C124" s="730"/>
      <c r="D124" s="730"/>
      <c r="E124" s="730"/>
      <c r="F124" s="730"/>
      <c r="G124" s="730"/>
      <c r="H124" s="730"/>
      <c r="I124" s="730"/>
      <c r="J124" s="730"/>
      <c r="K124" s="730"/>
      <c r="L124" s="730"/>
      <c r="M124" s="730"/>
      <c r="N124" s="730"/>
      <c r="O124" s="730"/>
      <c r="P124" s="730"/>
    </row>
    <row r="125" spans="2:16" x14ac:dyDescent="0.2">
      <c r="B125" s="730"/>
      <c r="C125" s="730"/>
      <c r="D125" s="730"/>
      <c r="E125" s="730"/>
      <c r="F125" s="730"/>
      <c r="G125" s="730"/>
      <c r="H125" s="730"/>
      <c r="I125" s="730"/>
      <c r="J125" s="730"/>
      <c r="K125" s="730"/>
      <c r="L125" s="730"/>
      <c r="M125" s="730"/>
      <c r="N125" s="730"/>
      <c r="O125" s="730"/>
      <c r="P125" s="730"/>
    </row>
    <row r="126" spans="2:16" x14ac:dyDescent="0.2">
      <c r="B126" s="730"/>
      <c r="C126" s="730"/>
      <c r="D126" s="730"/>
      <c r="E126" s="730"/>
      <c r="F126" s="730"/>
      <c r="G126" s="730"/>
      <c r="H126" s="730"/>
      <c r="I126" s="730"/>
      <c r="J126" s="730"/>
      <c r="K126" s="730"/>
      <c r="L126" s="730"/>
      <c r="M126" s="730"/>
      <c r="N126" s="730"/>
      <c r="O126" s="730"/>
      <c r="P126" s="730"/>
    </row>
    <row r="127" spans="2:16" x14ac:dyDescent="0.2">
      <c r="B127" s="730"/>
      <c r="C127" s="730"/>
      <c r="D127" s="730"/>
      <c r="E127" s="730"/>
      <c r="F127" s="730"/>
      <c r="G127" s="730"/>
      <c r="H127" s="730"/>
      <c r="I127" s="730"/>
      <c r="J127" s="730"/>
      <c r="K127" s="730"/>
      <c r="L127" s="730"/>
      <c r="M127" s="730"/>
      <c r="N127" s="730"/>
      <c r="O127" s="730"/>
      <c r="P127" s="730"/>
    </row>
    <row r="128" spans="2:16" x14ac:dyDescent="0.2">
      <c r="B128" s="730"/>
      <c r="C128" s="730"/>
      <c r="D128" s="730"/>
      <c r="E128" s="730"/>
      <c r="F128" s="730"/>
      <c r="G128" s="730"/>
      <c r="H128" s="730"/>
      <c r="I128" s="730"/>
      <c r="J128" s="730"/>
      <c r="K128" s="730"/>
      <c r="L128" s="730"/>
      <c r="M128" s="730"/>
      <c r="N128" s="730"/>
      <c r="O128" s="730"/>
      <c r="P128" s="730"/>
    </row>
    <row r="129" spans="2:16" x14ac:dyDescent="0.2">
      <c r="B129" s="730"/>
      <c r="C129" s="730"/>
      <c r="D129" s="730"/>
      <c r="E129" s="730"/>
      <c r="F129" s="730"/>
      <c r="G129" s="730"/>
      <c r="H129" s="730"/>
      <c r="I129" s="730"/>
      <c r="J129" s="730"/>
      <c r="K129" s="730"/>
      <c r="L129" s="730"/>
      <c r="M129" s="730"/>
      <c r="N129" s="730"/>
      <c r="O129" s="730"/>
      <c r="P129" s="730"/>
    </row>
    <row r="130" spans="2:16" x14ac:dyDescent="0.2">
      <c r="B130" s="730"/>
      <c r="C130" s="730"/>
      <c r="D130" s="730"/>
      <c r="E130" s="730"/>
      <c r="F130" s="730"/>
      <c r="G130" s="730"/>
      <c r="H130" s="730"/>
      <c r="I130" s="730"/>
      <c r="J130" s="730"/>
      <c r="K130" s="730"/>
      <c r="L130" s="730"/>
      <c r="M130" s="730"/>
      <c r="N130" s="730"/>
      <c r="O130" s="730"/>
      <c r="P130" s="730"/>
    </row>
    <row r="131" spans="2:16" x14ac:dyDescent="0.2">
      <c r="B131" s="730"/>
      <c r="C131" s="730"/>
      <c r="D131" s="730"/>
      <c r="E131" s="730"/>
      <c r="F131" s="730"/>
      <c r="G131" s="730"/>
      <c r="H131" s="730"/>
      <c r="I131" s="730"/>
      <c r="J131" s="730"/>
      <c r="K131" s="730"/>
      <c r="L131" s="730"/>
      <c r="M131" s="730"/>
      <c r="N131" s="730"/>
      <c r="O131" s="730"/>
      <c r="P131" s="730"/>
    </row>
    <row r="132" spans="2:16" x14ac:dyDescent="0.2">
      <c r="B132" s="730"/>
      <c r="C132" s="730"/>
      <c r="D132" s="730"/>
      <c r="E132" s="730"/>
      <c r="F132" s="730"/>
      <c r="G132" s="730"/>
      <c r="H132" s="730"/>
      <c r="I132" s="730"/>
      <c r="J132" s="730"/>
      <c r="K132" s="730"/>
      <c r="L132" s="730"/>
      <c r="M132" s="730"/>
      <c r="N132" s="730"/>
      <c r="O132" s="730"/>
      <c r="P132" s="730"/>
    </row>
    <row r="133" spans="2:16" x14ac:dyDescent="0.2">
      <c r="B133" s="730"/>
      <c r="C133" s="730"/>
      <c r="D133" s="730"/>
      <c r="E133" s="730"/>
      <c r="F133" s="730"/>
      <c r="G133" s="730"/>
      <c r="H133" s="730"/>
      <c r="I133" s="730"/>
      <c r="J133" s="730"/>
      <c r="K133" s="730"/>
      <c r="L133" s="730"/>
      <c r="M133" s="730"/>
      <c r="N133" s="730"/>
      <c r="O133" s="730"/>
      <c r="P133" s="730"/>
    </row>
  </sheetData>
  <mergeCells count="90">
    <mergeCell ref="R9:V9"/>
    <mergeCell ref="R16:U16"/>
    <mergeCell ref="R17:U17"/>
    <mergeCell ref="R18:U18"/>
    <mergeCell ref="R19:U19"/>
    <mergeCell ref="D110:L110"/>
    <mergeCell ref="M116:N116"/>
    <mergeCell ref="M113:N113"/>
    <mergeCell ref="M114:N114"/>
    <mergeCell ref="M115:N115"/>
    <mergeCell ref="M110:N110"/>
    <mergeCell ref="M111:N111"/>
    <mergeCell ref="M112:N112"/>
    <mergeCell ref="B102:L102"/>
    <mergeCell ref="N103:P103"/>
    <mergeCell ref="B105:P105"/>
    <mergeCell ref="M102:P102"/>
    <mergeCell ref="B103:L103"/>
    <mergeCell ref="B28:K28"/>
    <mergeCell ref="M96:P96"/>
    <mergeCell ref="N99:P99"/>
    <mergeCell ref="M101:P101"/>
    <mergeCell ref="B93:O93"/>
    <mergeCell ref="M95:P95"/>
    <mergeCell ref="N98:P98"/>
    <mergeCell ref="M100:P100"/>
    <mergeCell ref="M97:P97"/>
    <mergeCell ref="B24:K24"/>
    <mergeCell ref="L24:L27"/>
    <mergeCell ref="M24:O24"/>
    <mergeCell ref="B25:K25"/>
    <mergeCell ref="M25:M27"/>
    <mergeCell ref="N25:N27"/>
    <mergeCell ref="O25:O27"/>
    <mergeCell ref="B26:K26"/>
    <mergeCell ref="B27:K27"/>
    <mergeCell ref="B23:P23"/>
    <mergeCell ref="B17:K17"/>
    <mergeCell ref="L17:N17"/>
    <mergeCell ref="O17:P17"/>
    <mergeCell ref="B18:K18"/>
    <mergeCell ref="L18:N18"/>
    <mergeCell ref="O18:P18"/>
    <mergeCell ref="B19:K19"/>
    <mergeCell ref="L19:N19"/>
    <mergeCell ref="O19:P19"/>
    <mergeCell ref="B21:P21"/>
    <mergeCell ref="B22:P22"/>
    <mergeCell ref="B20:P20"/>
    <mergeCell ref="B14:P14"/>
    <mergeCell ref="B15:K15"/>
    <mergeCell ref="L15:N15"/>
    <mergeCell ref="O15:P15"/>
    <mergeCell ref="B16:K16"/>
    <mergeCell ref="L16:N16"/>
    <mergeCell ref="O16:P16"/>
    <mergeCell ref="B13:K13"/>
    <mergeCell ref="B6:K6"/>
    <mergeCell ref="M6:P6"/>
    <mergeCell ref="B7:K7"/>
    <mergeCell ref="M7:P7"/>
    <mergeCell ref="B8:K8"/>
    <mergeCell ref="B9:K9"/>
    <mergeCell ref="B10:K10"/>
    <mergeCell ref="L10:P10"/>
    <mergeCell ref="B11:K11"/>
    <mergeCell ref="B12:K12"/>
    <mergeCell ref="M8:P8"/>
    <mergeCell ref="M9:P9"/>
    <mergeCell ref="P2:P3"/>
    <mergeCell ref="B4:O4"/>
    <mergeCell ref="P4:P5"/>
    <mergeCell ref="B5:O5"/>
    <mergeCell ref="F2:O2"/>
    <mergeCell ref="F3:O3"/>
    <mergeCell ref="M109:N109"/>
    <mergeCell ref="B104:L104"/>
    <mergeCell ref="N104:P104"/>
    <mergeCell ref="B107:P107"/>
    <mergeCell ref="B108:P108"/>
    <mergeCell ref="B109:C109"/>
    <mergeCell ref="D109:L109"/>
    <mergeCell ref="B106:P106"/>
    <mergeCell ref="B114:C114"/>
    <mergeCell ref="B115:C115"/>
    <mergeCell ref="B116:C116"/>
    <mergeCell ref="B110:C110"/>
    <mergeCell ref="B111:C111"/>
    <mergeCell ref="B112:C112"/>
    <mergeCell ref="B113:C113"/>
  </mergeCells>
  <pageMargins left="0.51181102362204722" right="0.27559055118110237" top="0.51181102362204722" bottom="0.51181102362204722" header="0.27559055118110237" footer="0.31496062992125984"/>
  <pageSetup paperSize="5" scale="77" orientation="portrait" horizontalDpi="4294967293" verticalDpi="4294967293" r:id="rId1"/>
  <rowBreaks count="2" manualBreakCount="2">
    <brk id="82" min="1" max="15" man="1"/>
    <brk id="101" min="1" max="15" man="1"/>
  </rowBreaks>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W154"/>
  <sheetViews>
    <sheetView view="pageBreakPreview" topLeftCell="G5" zoomScale="70" zoomScaleNormal="100" zoomScaleSheetLayoutView="70" workbookViewId="0">
      <selection activeCell="O98" sqref="O98"/>
    </sheetView>
  </sheetViews>
  <sheetFormatPr defaultRowHeight="12.75" x14ac:dyDescent="0.2"/>
  <cols>
    <col min="1" max="1" width="4.85546875" customWidth="1"/>
    <col min="2" max="11" width="2.7109375" style="288" customWidth="1"/>
    <col min="12" max="12" width="47.5703125" style="288" customWidth="1"/>
    <col min="13" max="13" width="10.5703125" style="288" customWidth="1"/>
    <col min="14" max="14" width="10.42578125" style="288" customWidth="1"/>
    <col min="15" max="15" width="13.5703125" style="288" customWidth="1"/>
    <col min="16" max="16" width="16.5703125" style="288" customWidth="1"/>
    <col min="17" max="17" width="9.5703125" customWidth="1"/>
    <col min="18" max="18" width="14.85546875" bestFit="1" customWidth="1"/>
    <col min="20" max="20" width="10.28515625" bestFit="1" customWidth="1"/>
    <col min="21" max="21" width="13.28515625" bestFit="1" customWidth="1"/>
  </cols>
  <sheetData>
    <row r="1" spans="2:16" ht="13.5" thickBot="1" x14ac:dyDescent="0.25"/>
    <row r="2" spans="2:16" ht="18.95" customHeight="1" thickTop="1" x14ac:dyDescent="0.2">
      <c r="B2" s="72"/>
      <c r="C2" s="73"/>
      <c r="D2" s="73"/>
      <c r="E2" s="73"/>
      <c r="F2" s="2174" t="s">
        <v>632</v>
      </c>
      <c r="G2" s="2174"/>
      <c r="H2" s="2174"/>
      <c r="I2" s="2174"/>
      <c r="J2" s="2174"/>
      <c r="K2" s="2174"/>
      <c r="L2" s="2174"/>
      <c r="M2" s="2174"/>
      <c r="N2" s="2174"/>
      <c r="O2" s="2175"/>
      <c r="P2" s="2178" t="s">
        <v>67</v>
      </c>
    </row>
    <row r="3" spans="2:16" ht="18.95" customHeight="1" x14ac:dyDescent="0.2">
      <c r="B3" s="74"/>
      <c r="C3" s="7"/>
      <c r="D3" s="7"/>
      <c r="E3" s="7"/>
      <c r="F3" s="2465" t="s">
        <v>183</v>
      </c>
      <c r="G3" s="2465"/>
      <c r="H3" s="2465"/>
      <c r="I3" s="2465"/>
      <c r="J3" s="2465"/>
      <c r="K3" s="2465"/>
      <c r="L3" s="2465"/>
      <c r="M3" s="2465"/>
      <c r="N3" s="2465"/>
      <c r="O3" s="2466"/>
      <c r="P3" s="2464"/>
    </row>
    <row r="4" spans="2:16" ht="12.95" customHeight="1" x14ac:dyDescent="0.2">
      <c r="B4" s="2182" t="s">
        <v>33</v>
      </c>
      <c r="C4" s="2183"/>
      <c r="D4" s="2183"/>
      <c r="E4" s="2183"/>
      <c r="F4" s="2183"/>
      <c r="G4" s="2183"/>
      <c r="H4" s="2183"/>
      <c r="I4" s="2183"/>
      <c r="J4" s="2183"/>
      <c r="K4" s="2183"/>
      <c r="L4" s="2183"/>
      <c r="M4" s="2183"/>
      <c r="N4" s="2183"/>
      <c r="O4" s="2604"/>
      <c r="P4" s="2605" t="s">
        <v>30</v>
      </c>
    </row>
    <row r="5" spans="2:16" ht="12.95" customHeight="1" thickBot="1" x14ac:dyDescent="0.25">
      <c r="B5" s="2373" t="str">
        <f>'RECAP APBD'!B5:F5</f>
        <v>Tahun Anggaran 2020</v>
      </c>
      <c r="C5" s="2374"/>
      <c r="D5" s="2374"/>
      <c r="E5" s="2374"/>
      <c r="F5" s="2374"/>
      <c r="G5" s="2374"/>
      <c r="H5" s="2374"/>
      <c r="I5" s="2374"/>
      <c r="J5" s="2374"/>
      <c r="K5" s="2374"/>
      <c r="L5" s="2374"/>
      <c r="M5" s="2374"/>
      <c r="N5" s="2374"/>
      <c r="O5" s="2470"/>
      <c r="P5" s="2606"/>
    </row>
    <row r="6" spans="2:16" ht="12.95" customHeight="1" x14ac:dyDescent="0.2">
      <c r="B6" s="2462" t="s">
        <v>453</v>
      </c>
      <c r="C6" s="2463"/>
      <c r="D6" s="2463"/>
      <c r="E6" s="2463"/>
      <c r="F6" s="2463"/>
      <c r="G6" s="2463"/>
      <c r="H6" s="2463"/>
      <c r="I6" s="2463"/>
      <c r="J6" s="2463"/>
      <c r="K6" s="2463"/>
      <c r="L6" s="504" t="s">
        <v>442</v>
      </c>
      <c r="M6" s="2213" t="s">
        <v>437</v>
      </c>
      <c r="N6" s="2213"/>
      <c r="O6" s="2213"/>
      <c r="P6" s="2214"/>
    </row>
    <row r="7" spans="2:16" ht="12.95" customHeight="1" x14ac:dyDescent="0.2">
      <c r="B7" s="2471" t="s">
        <v>19</v>
      </c>
      <c r="C7" s="2355"/>
      <c r="D7" s="2355"/>
      <c r="E7" s="2355"/>
      <c r="F7" s="2355"/>
      <c r="G7" s="2355"/>
      <c r="H7" s="2355"/>
      <c r="I7" s="2355"/>
      <c r="J7" s="2355"/>
      <c r="K7" s="2355"/>
      <c r="L7" s="499" t="s">
        <v>441</v>
      </c>
      <c r="M7" s="2541" t="s">
        <v>466</v>
      </c>
      <c r="N7" s="2541"/>
      <c r="O7" s="2541"/>
      <c r="P7" s="2542"/>
    </row>
    <row r="8" spans="2:16" ht="12.95" customHeight="1" x14ac:dyDescent="0.2">
      <c r="B8" s="2471" t="s">
        <v>32</v>
      </c>
      <c r="C8" s="2355"/>
      <c r="D8" s="2355"/>
      <c r="E8" s="2355"/>
      <c r="F8" s="2355"/>
      <c r="G8" s="2355"/>
      <c r="H8" s="2355"/>
      <c r="I8" s="2355"/>
      <c r="J8" s="2355"/>
      <c r="K8" s="2355"/>
      <c r="L8" s="499" t="s">
        <v>459</v>
      </c>
      <c r="M8" s="2575" t="s">
        <v>486</v>
      </c>
      <c r="N8" s="2575"/>
      <c r="O8" s="2575"/>
      <c r="P8" s="2576"/>
    </row>
    <row r="9" spans="2:16" ht="29.1" customHeight="1" x14ac:dyDescent="0.2">
      <c r="B9" s="2477" t="s">
        <v>20</v>
      </c>
      <c r="C9" s="2478"/>
      <c r="D9" s="2478"/>
      <c r="E9" s="2478"/>
      <c r="F9" s="2478"/>
      <c r="G9" s="2478"/>
      <c r="H9" s="2478"/>
      <c r="I9" s="2478"/>
      <c r="J9" s="2478"/>
      <c r="K9" s="2478"/>
      <c r="L9" s="1526" t="s">
        <v>462</v>
      </c>
      <c r="M9" s="2618" t="s">
        <v>430</v>
      </c>
      <c r="N9" s="2618"/>
      <c r="O9" s="2618"/>
      <c r="P9" s="2619"/>
    </row>
    <row r="10" spans="2:16" ht="12.95" customHeight="1" x14ac:dyDescent="0.2">
      <c r="B10" s="2471" t="s">
        <v>221</v>
      </c>
      <c r="C10" s="2355"/>
      <c r="D10" s="2355"/>
      <c r="E10" s="2355"/>
      <c r="F10" s="2355"/>
      <c r="G10" s="2355"/>
      <c r="H10" s="2355"/>
      <c r="I10" s="2355"/>
      <c r="J10" s="2355"/>
      <c r="K10" s="2355"/>
      <c r="L10" s="2475" t="s">
        <v>931</v>
      </c>
      <c r="M10" s="2475"/>
      <c r="N10" s="2475"/>
      <c r="O10" s="2475"/>
      <c r="P10" s="2476"/>
    </row>
    <row r="11" spans="2:16" ht="12.95" customHeight="1" x14ac:dyDescent="0.2">
      <c r="B11" s="2471" t="s">
        <v>222</v>
      </c>
      <c r="C11" s="2355"/>
      <c r="D11" s="2355"/>
      <c r="E11" s="2355"/>
      <c r="F11" s="2355"/>
      <c r="G11" s="2355"/>
      <c r="H11" s="2355"/>
      <c r="I11" s="2355"/>
      <c r="J11" s="2355"/>
      <c r="K11" s="2355"/>
      <c r="L11" s="152">
        <v>222256565</v>
      </c>
      <c r="M11" s="35"/>
      <c r="N11" s="35"/>
      <c r="O11" s="35"/>
      <c r="P11" s="77"/>
    </row>
    <row r="12" spans="2:16" ht="12.95" customHeight="1" x14ac:dyDescent="0.2">
      <c r="B12" s="2471" t="s">
        <v>223</v>
      </c>
      <c r="C12" s="2355"/>
      <c r="D12" s="2355"/>
      <c r="E12" s="2355"/>
      <c r="F12" s="2355"/>
      <c r="G12" s="2355"/>
      <c r="H12" s="2355"/>
      <c r="I12" s="2355"/>
      <c r="J12" s="2355"/>
      <c r="K12" s="2355"/>
      <c r="L12" s="152">
        <f>+P29</f>
        <v>47211380</v>
      </c>
      <c r="M12" s="35"/>
      <c r="N12" s="35"/>
      <c r="O12" s="35"/>
      <c r="P12" s="77"/>
    </row>
    <row r="13" spans="2:16" ht="12.95" customHeight="1" x14ac:dyDescent="0.2">
      <c r="B13" s="2471" t="s">
        <v>224</v>
      </c>
      <c r="C13" s="2355"/>
      <c r="D13" s="2355"/>
      <c r="E13" s="2355"/>
      <c r="F13" s="2355"/>
      <c r="G13" s="2355"/>
      <c r="H13" s="2355"/>
      <c r="I13" s="2355"/>
      <c r="J13" s="2355"/>
      <c r="K13" s="2355"/>
      <c r="L13" s="152">
        <f>L12+(L12*5%)</f>
        <v>49571949</v>
      </c>
      <c r="M13" s="35"/>
      <c r="N13" s="35"/>
      <c r="O13" s="35"/>
      <c r="P13" s="77"/>
    </row>
    <row r="14" spans="2:16" ht="12.95" customHeight="1" x14ac:dyDescent="0.2">
      <c r="B14" s="2479" t="s">
        <v>225</v>
      </c>
      <c r="C14" s="2289"/>
      <c r="D14" s="2289"/>
      <c r="E14" s="2289"/>
      <c r="F14" s="2289"/>
      <c r="G14" s="2289"/>
      <c r="H14" s="2289"/>
      <c r="I14" s="2289"/>
      <c r="J14" s="2289"/>
      <c r="K14" s="2289"/>
      <c r="L14" s="2289"/>
      <c r="M14" s="2289"/>
      <c r="N14" s="2289"/>
      <c r="O14" s="2289"/>
      <c r="P14" s="2290"/>
    </row>
    <row r="15" spans="2:16" ht="12.95" customHeight="1" x14ac:dyDescent="0.2">
      <c r="B15" s="2479" t="s">
        <v>36</v>
      </c>
      <c r="C15" s="2289"/>
      <c r="D15" s="2289"/>
      <c r="E15" s="2289"/>
      <c r="F15" s="2289"/>
      <c r="G15" s="2289"/>
      <c r="H15" s="2289"/>
      <c r="I15" s="2289"/>
      <c r="J15" s="2289"/>
      <c r="K15" s="2512"/>
      <c r="L15" s="2607" t="s">
        <v>226</v>
      </c>
      <c r="M15" s="2289"/>
      <c r="N15" s="2512"/>
      <c r="O15" s="2607" t="s">
        <v>227</v>
      </c>
      <c r="P15" s="2290"/>
    </row>
    <row r="16" spans="2:16" ht="24" customHeight="1" x14ac:dyDescent="0.2">
      <c r="B16" s="2584" t="s">
        <v>37</v>
      </c>
      <c r="C16" s="2585"/>
      <c r="D16" s="2585"/>
      <c r="E16" s="2585"/>
      <c r="F16" s="2585"/>
      <c r="G16" s="2585"/>
      <c r="H16" s="2585"/>
      <c r="I16" s="2585"/>
      <c r="J16" s="2585"/>
      <c r="K16" s="2732"/>
      <c r="L16" s="2863" t="s">
        <v>785</v>
      </c>
      <c r="M16" s="2793"/>
      <c r="N16" s="2794"/>
      <c r="O16" s="2728">
        <v>1</v>
      </c>
      <c r="P16" s="2729"/>
    </row>
    <row r="17" spans="2:18" ht="12.95" customHeight="1" x14ac:dyDescent="0.2">
      <c r="B17" s="2454" t="s">
        <v>228</v>
      </c>
      <c r="C17" s="2286"/>
      <c r="D17" s="2286"/>
      <c r="E17" s="2286"/>
      <c r="F17" s="2286"/>
      <c r="G17" s="2286"/>
      <c r="H17" s="2286"/>
      <c r="I17" s="2286"/>
      <c r="J17" s="2286"/>
      <c r="K17" s="2724"/>
      <c r="L17" s="2863" t="s">
        <v>119</v>
      </c>
      <c r="M17" s="2793"/>
      <c r="N17" s="2794"/>
      <c r="O17" s="2861">
        <f>P29</f>
        <v>47211380</v>
      </c>
      <c r="P17" s="2862"/>
    </row>
    <row r="18" spans="2:18" ht="12.95" customHeight="1" x14ac:dyDescent="0.2">
      <c r="B18" s="2454" t="s">
        <v>229</v>
      </c>
      <c r="C18" s="2286"/>
      <c r="D18" s="2286"/>
      <c r="E18" s="2286"/>
      <c r="F18" s="2286"/>
      <c r="G18" s="2286"/>
      <c r="H18" s="2286"/>
      <c r="I18" s="2286"/>
      <c r="J18" s="2286"/>
      <c r="K18" s="2724"/>
      <c r="L18" s="2863" t="s">
        <v>698</v>
      </c>
      <c r="M18" s="2793"/>
      <c r="N18" s="2794"/>
      <c r="O18" s="2867" t="s">
        <v>633</v>
      </c>
      <c r="P18" s="2868"/>
    </row>
    <row r="19" spans="2:18" ht="12.95" customHeight="1" x14ac:dyDescent="0.2">
      <c r="B19" s="2454" t="s">
        <v>230</v>
      </c>
      <c r="C19" s="2286"/>
      <c r="D19" s="2286"/>
      <c r="E19" s="2286"/>
      <c r="F19" s="2286"/>
      <c r="G19" s="2286"/>
      <c r="H19" s="2286"/>
      <c r="I19" s="2286"/>
      <c r="J19" s="2286"/>
      <c r="K19" s="2724"/>
      <c r="L19" s="2863" t="s">
        <v>786</v>
      </c>
      <c r="M19" s="2793"/>
      <c r="N19" s="2794"/>
      <c r="O19" s="2867">
        <v>0.7</v>
      </c>
      <c r="P19" s="2868"/>
    </row>
    <row r="20" spans="2:18" ht="6.95" customHeight="1" x14ac:dyDescent="0.2">
      <c r="B20" s="2445"/>
      <c r="C20" s="2446"/>
      <c r="D20" s="2446"/>
      <c r="E20" s="2446"/>
      <c r="F20" s="2446"/>
      <c r="G20" s="2446"/>
      <c r="H20" s="2446"/>
      <c r="I20" s="2446"/>
      <c r="J20" s="2446"/>
      <c r="K20" s="2446"/>
      <c r="L20" s="2446"/>
      <c r="M20" s="2446"/>
      <c r="N20" s="2446"/>
      <c r="O20" s="2446"/>
      <c r="P20" s="2447"/>
    </row>
    <row r="21" spans="2:18" ht="12.95" customHeight="1" x14ac:dyDescent="0.2">
      <c r="B21" s="2852" t="s">
        <v>290</v>
      </c>
      <c r="C21" s="2853"/>
      <c r="D21" s="2853"/>
      <c r="E21" s="2853"/>
      <c r="F21" s="2853"/>
      <c r="G21" s="2853"/>
      <c r="H21" s="2853"/>
      <c r="I21" s="2853"/>
      <c r="J21" s="2853"/>
      <c r="K21" s="2853"/>
      <c r="L21" s="2853"/>
      <c r="M21" s="2853"/>
      <c r="N21" s="2853"/>
      <c r="O21" s="2853"/>
      <c r="P21" s="2854"/>
    </row>
    <row r="22" spans="2:18" ht="12.95" customHeight="1" x14ac:dyDescent="0.2">
      <c r="B22" s="2487" t="s">
        <v>231</v>
      </c>
      <c r="C22" s="2488"/>
      <c r="D22" s="2488"/>
      <c r="E22" s="2488"/>
      <c r="F22" s="2488"/>
      <c r="G22" s="2488"/>
      <c r="H22" s="2488"/>
      <c r="I22" s="2488"/>
      <c r="J22" s="2488"/>
      <c r="K22" s="2488"/>
      <c r="L22" s="2488"/>
      <c r="M22" s="2488"/>
      <c r="N22" s="2488"/>
      <c r="O22" s="2488"/>
      <c r="P22" s="2489"/>
    </row>
    <row r="23" spans="2:18" ht="12.95" customHeight="1" x14ac:dyDescent="0.2">
      <c r="B23" s="2490" t="s">
        <v>38</v>
      </c>
      <c r="C23" s="2491"/>
      <c r="D23" s="2491"/>
      <c r="E23" s="2491"/>
      <c r="F23" s="2491"/>
      <c r="G23" s="2491"/>
      <c r="H23" s="2491"/>
      <c r="I23" s="2491"/>
      <c r="J23" s="2491"/>
      <c r="K23" s="2491"/>
      <c r="L23" s="2491"/>
      <c r="M23" s="2491"/>
      <c r="N23" s="2491"/>
      <c r="O23" s="2491"/>
      <c r="P23" s="2492"/>
    </row>
    <row r="24" spans="2:18" ht="12.95" customHeight="1" x14ac:dyDescent="0.2">
      <c r="B24" s="2858"/>
      <c r="C24" s="2859"/>
      <c r="D24" s="2859"/>
      <c r="E24" s="2859"/>
      <c r="F24" s="2859"/>
      <c r="G24" s="2859"/>
      <c r="H24" s="2859"/>
      <c r="I24" s="2859"/>
      <c r="J24" s="2859"/>
      <c r="K24" s="2860"/>
      <c r="L24" s="2603" t="s">
        <v>191</v>
      </c>
      <c r="M24" s="2742" t="s">
        <v>198</v>
      </c>
      <c r="N24" s="2499"/>
      <c r="O24" s="2743"/>
      <c r="P24" s="292"/>
    </row>
    <row r="25" spans="2:18" ht="12.95" customHeight="1" x14ac:dyDescent="0.2">
      <c r="B25" s="2448" t="s">
        <v>189</v>
      </c>
      <c r="C25" s="2449"/>
      <c r="D25" s="2449"/>
      <c r="E25" s="2449"/>
      <c r="F25" s="2449"/>
      <c r="G25" s="2449"/>
      <c r="H25" s="2449"/>
      <c r="I25" s="2449"/>
      <c r="J25" s="2449"/>
      <c r="K25" s="2450"/>
      <c r="L25" s="2405"/>
      <c r="M25" s="2750" t="s">
        <v>200</v>
      </c>
      <c r="N25" s="2603" t="s">
        <v>26</v>
      </c>
      <c r="O25" s="2603" t="s">
        <v>217</v>
      </c>
      <c r="P25" s="78" t="s">
        <v>192</v>
      </c>
    </row>
    <row r="26" spans="2:18" ht="12.95" customHeight="1" x14ac:dyDescent="0.2">
      <c r="B26" s="2448" t="s">
        <v>197</v>
      </c>
      <c r="C26" s="2449"/>
      <c r="D26" s="2449"/>
      <c r="E26" s="2449"/>
      <c r="F26" s="2449"/>
      <c r="G26" s="2449"/>
      <c r="H26" s="2449"/>
      <c r="I26" s="2449"/>
      <c r="J26" s="2449"/>
      <c r="K26" s="2450"/>
      <c r="L26" s="2405"/>
      <c r="M26" s="2496"/>
      <c r="N26" s="2405"/>
      <c r="O26" s="2405"/>
      <c r="P26" s="78" t="s">
        <v>193</v>
      </c>
    </row>
    <row r="27" spans="2:18" ht="12.95" customHeight="1" x14ac:dyDescent="0.2">
      <c r="B27" s="2864"/>
      <c r="C27" s="2865"/>
      <c r="D27" s="2865"/>
      <c r="E27" s="2865"/>
      <c r="F27" s="2865"/>
      <c r="G27" s="2865"/>
      <c r="H27" s="2865"/>
      <c r="I27" s="2865"/>
      <c r="J27" s="2865"/>
      <c r="K27" s="2866"/>
      <c r="L27" s="2406"/>
      <c r="M27" s="2497"/>
      <c r="N27" s="2406"/>
      <c r="O27" s="2406"/>
      <c r="P27" s="293"/>
    </row>
    <row r="28" spans="2:18" ht="12.95" customHeight="1" thickBot="1" x14ac:dyDescent="0.25">
      <c r="B28" s="2483">
        <v>1</v>
      </c>
      <c r="C28" s="2484"/>
      <c r="D28" s="2484"/>
      <c r="E28" s="2484"/>
      <c r="F28" s="2484"/>
      <c r="G28" s="2484"/>
      <c r="H28" s="2484"/>
      <c r="I28" s="2484"/>
      <c r="J28" s="2484"/>
      <c r="K28" s="2485"/>
      <c r="L28" s="503">
        <v>2</v>
      </c>
      <c r="M28" s="1077">
        <v>3</v>
      </c>
      <c r="N28" s="503">
        <v>4</v>
      </c>
      <c r="O28" s="12">
        <v>5</v>
      </c>
      <c r="P28" s="79" t="s">
        <v>24</v>
      </c>
    </row>
    <row r="29" spans="2:18" ht="12.95" customHeight="1" thickTop="1" x14ac:dyDescent="0.2">
      <c r="B29" s="80">
        <v>1</v>
      </c>
      <c r="C29" s="33" t="s">
        <v>440</v>
      </c>
      <c r="D29" s="33" t="s">
        <v>142</v>
      </c>
      <c r="E29" s="59"/>
      <c r="F29" s="502"/>
      <c r="G29" s="46">
        <v>5</v>
      </c>
      <c r="H29" s="46">
        <v>2</v>
      </c>
      <c r="I29" s="502"/>
      <c r="J29" s="192"/>
      <c r="K29" s="192"/>
      <c r="L29" s="28" t="s">
        <v>108</v>
      </c>
      <c r="M29" s="98"/>
      <c r="N29" s="16"/>
      <c r="O29" s="18"/>
      <c r="P29" s="259">
        <f>P30</f>
        <v>47211380</v>
      </c>
      <c r="Q29" s="484"/>
    </row>
    <row r="30" spans="2:18" ht="12.95" customHeight="1" x14ac:dyDescent="0.2">
      <c r="B30" s="80">
        <v>1</v>
      </c>
      <c r="C30" s="33" t="s">
        <v>440</v>
      </c>
      <c r="D30" s="33" t="s">
        <v>142</v>
      </c>
      <c r="E30" s="60">
        <v>18</v>
      </c>
      <c r="F30" s="33"/>
      <c r="G30" s="46"/>
      <c r="H30" s="46"/>
      <c r="I30" s="502"/>
      <c r="J30" s="192"/>
      <c r="K30" s="192"/>
      <c r="L30" s="228" t="s">
        <v>590</v>
      </c>
      <c r="M30" s="1412"/>
      <c r="N30" s="16"/>
      <c r="O30" s="18"/>
      <c r="P30" s="259">
        <f>P31</f>
        <v>47211380</v>
      </c>
      <c r="Q30" s="120"/>
      <c r="R30" s="120"/>
    </row>
    <row r="31" spans="2:18" ht="26.1" customHeight="1" x14ac:dyDescent="0.2">
      <c r="B31" s="355">
        <v>1</v>
      </c>
      <c r="C31" s="356" t="s">
        <v>440</v>
      </c>
      <c r="D31" s="356" t="s">
        <v>142</v>
      </c>
      <c r="E31" s="357">
        <v>18</v>
      </c>
      <c r="F31" s="357" t="s">
        <v>164</v>
      </c>
      <c r="G31" s="358"/>
      <c r="H31" s="358"/>
      <c r="I31" s="359"/>
      <c r="J31" s="620"/>
      <c r="K31" s="621"/>
      <c r="L31" s="1729" t="s">
        <v>530</v>
      </c>
      <c r="M31" s="1415"/>
      <c r="N31" s="50"/>
      <c r="O31" s="50"/>
      <c r="P31" s="638">
        <f>P33+P50</f>
        <v>47211380</v>
      </c>
    </row>
    <row r="32" spans="2:18" ht="12.95" customHeight="1" x14ac:dyDescent="0.2">
      <c r="B32" s="80"/>
      <c r="C32" s="33"/>
      <c r="D32" s="33"/>
      <c r="E32" s="60"/>
      <c r="F32" s="33"/>
      <c r="G32" s="46"/>
      <c r="H32" s="46"/>
      <c r="I32" s="502"/>
      <c r="J32" s="192"/>
      <c r="K32" s="194"/>
      <c r="L32" s="285"/>
      <c r="M32" s="1387"/>
      <c r="N32" s="100"/>
      <c r="O32" s="101"/>
      <c r="P32" s="94"/>
    </row>
    <row r="33" spans="2:16" ht="12.95" customHeight="1" x14ac:dyDescent="0.2">
      <c r="B33" s="80">
        <v>1</v>
      </c>
      <c r="C33" s="33" t="s">
        <v>440</v>
      </c>
      <c r="D33" s="33" t="s">
        <v>142</v>
      </c>
      <c r="E33" s="60">
        <v>18</v>
      </c>
      <c r="F33" s="357" t="s">
        <v>164</v>
      </c>
      <c r="G33" s="46">
        <v>5</v>
      </c>
      <c r="H33" s="46">
        <v>2</v>
      </c>
      <c r="I33" s="1079">
        <v>1</v>
      </c>
      <c r="J33" s="192"/>
      <c r="K33" s="192"/>
      <c r="L33" s="191" t="s">
        <v>86</v>
      </c>
      <c r="M33" s="1395"/>
      <c r="N33" s="185"/>
      <c r="O33" s="262"/>
      <c r="P33" s="259">
        <f>P34+P38</f>
        <v>12800000</v>
      </c>
    </row>
    <row r="34" spans="2:16" ht="12.95" customHeight="1" x14ac:dyDescent="0.2">
      <c r="B34" s="218">
        <v>1</v>
      </c>
      <c r="C34" s="219" t="s">
        <v>440</v>
      </c>
      <c r="D34" s="219" t="s">
        <v>142</v>
      </c>
      <c r="E34" s="227">
        <v>18</v>
      </c>
      <c r="F34" s="357" t="s">
        <v>164</v>
      </c>
      <c r="G34" s="222">
        <v>5</v>
      </c>
      <c r="H34" s="222">
        <v>2</v>
      </c>
      <c r="I34" s="221">
        <v>1</v>
      </c>
      <c r="J34" s="219" t="s">
        <v>142</v>
      </c>
      <c r="K34" s="221"/>
      <c r="L34" s="234" t="s">
        <v>159</v>
      </c>
      <c r="M34" s="1405"/>
      <c r="N34" s="1268"/>
      <c r="O34" s="1269"/>
      <c r="P34" s="645">
        <f>P35</f>
        <v>1500000</v>
      </c>
    </row>
    <row r="35" spans="2:16" ht="12.95" customHeight="1" x14ac:dyDescent="0.2">
      <c r="B35" s="218">
        <v>1</v>
      </c>
      <c r="C35" s="219" t="s">
        <v>440</v>
      </c>
      <c r="D35" s="219" t="s">
        <v>142</v>
      </c>
      <c r="E35" s="227">
        <v>18</v>
      </c>
      <c r="F35" s="357" t="s">
        <v>164</v>
      </c>
      <c r="G35" s="222">
        <v>5</v>
      </c>
      <c r="H35" s="222">
        <v>2</v>
      </c>
      <c r="I35" s="221">
        <v>1</v>
      </c>
      <c r="J35" s="219" t="s">
        <v>142</v>
      </c>
      <c r="K35" s="219" t="s">
        <v>142</v>
      </c>
      <c r="L35" s="235" t="s">
        <v>143</v>
      </c>
      <c r="M35" s="1343"/>
      <c r="N35" s="1271"/>
      <c r="O35" s="1272"/>
      <c r="P35" s="1273">
        <f>SUM(P36:P36)</f>
        <v>1500000</v>
      </c>
    </row>
    <row r="36" spans="2:16" ht="41.45" customHeight="1" x14ac:dyDescent="0.2">
      <c r="B36" s="467"/>
      <c r="C36" s="468"/>
      <c r="D36" s="468"/>
      <c r="E36" s="1631"/>
      <c r="F36" s="468"/>
      <c r="G36" s="462"/>
      <c r="H36" s="462"/>
      <c r="I36" s="1632"/>
      <c r="J36" s="1633"/>
      <c r="K36" s="468"/>
      <c r="L36" s="1634" t="s">
        <v>1015</v>
      </c>
      <c r="M36" s="1343">
        <v>6</v>
      </c>
      <c r="N36" s="1579" t="s">
        <v>106</v>
      </c>
      <c r="O36" s="1571">
        <v>250000</v>
      </c>
      <c r="P36" s="1581">
        <f>O36*M36</f>
        <v>1500000</v>
      </c>
    </row>
    <row r="37" spans="2:16" ht="12.95" customHeight="1" x14ac:dyDescent="0.2">
      <c r="B37" s="80"/>
      <c r="C37" s="33"/>
      <c r="D37" s="33"/>
      <c r="E37" s="60"/>
      <c r="F37" s="60"/>
      <c r="G37" s="46"/>
      <c r="H37" s="46"/>
      <c r="I37" s="1079"/>
      <c r="J37" s="192"/>
      <c r="K37" s="192"/>
      <c r="L37" s="196"/>
      <c r="M37" s="1395"/>
      <c r="N37" s="185"/>
      <c r="O37" s="262"/>
      <c r="P37" s="259"/>
    </row>
    <row r="38" spans="2:16" ht="12.95" customHeight="1" x14ac:dyDescent="0.2">
      <c r="B38" s="80">
        <v>1</v>
      </c>
      <c r="C38" s="33" t="s">
        <v>440</v>
      </c>
      <c r="D38" s="33" t="s">
        <v>142</v>
      </c>
      <c r="E38" s="60">
        <v>18</v>
      </c>
      <c r="F38" s="357" t="s">
        <v>164</v>
      </c>
      <c r="G38" s="46">
        <v>5</v>
      </c>
      <c r="H38" s="46">
        <v>2</v>
      </c>
      <c r="I38" s="1079">
        <v>1</v>
      </c>
      <c r="J38" s="33" t="s">
        <v>145</v>
      </c>
      <c r="K38" s="1079"/>
      <c r="L38" s="57" t="s">
        <v>176</v>
      </c>
      <c r="M38" s="1395"/>
      <c r="N38" s="263"/>
      <c r="O38" s="264"/>
      <c r="P38" s="259">
        <f>P39</f>
        <v>11300000</v>
      </c>
    </row>
    <row r="39" spans="2:16" ht="12.95" customHeight="1" x14ac:dyDescent="0.2">
      <c r="B39" s="80">
        <v>1</v>
      </c>
      <c r="C39" s="33" t="s">
        <v>440</v>
      </c>
      <c r="D39" s="33" t="s">
        <v>142</v>
      </c>
      <c r="E39" s="60">
        <v>18</v>
      </c>
      <c r="F39" s="357" t="s">
        <v>164</v>
      </c>
      <c r="G39" s="46">
        <v>5</v>
      </c>
      <c r="H39" s="46">
        <v>2</v>
      </c>
      <c r="I39" s="1079">
        <v>1</v>
      </c>
      <c r="J39" s="33" t="s">
        <v>145</v>
      </c>
      <c r="K39" s="33" t="s">
        <v>164</v>
      </c>
      <c r="L39" s="1635" t="s">
        <v>284</v>
      </c>
      <c r="M39" s="1405"/>
      <c r="N39" s="1605"/>
      <c r="O39" s="1636"/>
      <c r="P39" s="1594">
        <f>SUM(P40:P48)</f>
        <v>11300000</v>
      </c>
    </row>
    <row r="40" spans="2:16" ht="12.95" customHeight="1" x14ac:dyDescent="0.2">
      <c r="B40" s="80"/>
      <c r="C40" s="33"/>
      <c r="D40" s="33"/>
      <c r="E40" s="67"/>
      <c r="F40" s="357"/>
      <c r="G40" s="1079"/>
      <c r="H40" s="1079"/>
      <c r="I40" s="373"/>
      <c r="J40" s="68"/>
      <c r="K40" s="33"/>
      <c r="L40" s="624" t="s">
        <v>956</v>
      </c>
      <c r="M40" s="1343">
        <f>1*1</f>
        <v>1</v>
      </c>
      <c r="N40" s="1143" t="s">
        <v>300</v>
      </c>
      <c r="O40" s="1235">
        <v>300000</v>
      </c>
      <c r="P40" s="1249">
        <f t="shared" ref="P40:P46" si="0">O40*M40</f>
        <v>300000</v>
      </c>
    </row>
    <row r="41" spans="2:16" ht="12.95" customHeight="1" x14ac:dyDescent="0.2">
      <c r="B41" s="80"/>
      <c r="C41" s="33"/>
      <c r="D41" s="33"/>
      <c r="E41" s="67"/>
      <c r="F41" s="33"/>
      <c r="G41" s="1079"/>
      <c r="H41" s="1079"/>
      <c r="I41" s="373"/>
      <c r="J41" s="68"/>
      <c r="K41" s="33"/>
      <c r="L41" s="1708" t="s">
        <v>957</v>
      </c>
      <c r="M41" s="1343">
        <f t="shared" ref="M41:M42" si="1">1*1</f>
        <v>1</v>
      </c>
      <c r="N41" s="1143" t="s">
        <v>300</v>
      </c>
      <c r="O41" s="1235">
        <v>300000</v>
      </c>
      <c r="P41" s="1249">
        <f t="shared" si="0"/>
        <v>300000</v>
      </c>
    </row>
    <row r="42" spans="2:16" ht="12.95" customHeight="1" x14ac:dyDescent="0.2">
      <c r="B42" s="80"/>
      <c r="C42" s="33"/>
      <c r="D42" s="33"/>
      <c r="E42" s="60"/>
      <c r="F42" s="60"/>
      <c r="G42" s="46"/>
      <c r="H42" s="46"/>
      <c r="I42" s="1079"/>
      <c r="J42" s="33"/>
      <c r="K42" s="1079"/>
      <c r="L42" s="1709" t="s">
        <v>958</v>
      </c>
      <c r="M42" s="1343">
        <f t="shared" si="1"/>
        <v>1</v>
      </c>
      <c r="N42" s="1143" t="s">
        <v>300</v>
      </c>
      <c r="O42" s="1235">
        <v>300000</v>
      </c>
      <c r="P42" s="1249">
        <f t="shared" si="0"/>
        <v>300000</v>
      </c>
    </row>
    <row r="43" spans="2:16" ht="12.95" customHeight="1" x14ac:dyDescent="0.2">
      <c r="B43" s="80"/>
      <c r="C43" s="33"/>
      <c r="D43" s="33"/>
      <c r="E43" s="67"/>
      <c r="F43" s="67"/>
      <c r="G43" s="1079"/>
      <c r="H43" s="1079"/>
      <c r="I43" s="373"/>
      <c r="J43" s="68"/>
      <c r="K43" s="33"/>
      <c r="L43" s="1709" t="s">
        <v>959</v>
      </c>
      <c r="M43" s="1343">
        <v>2</v>
      </c>
      <c r="N43" s="1143" t="s">
        <v>300</v>
      </c>
      <c r="O43" s="1235">
        <v>300000</v>
      </c>
      <c r="P43" s="1249">
        <f t="shared" si="0"/>
        <v>600000</v>
      </c>
    </row>
    <row r="44" spans="2:16" ht="12.95" customHeight="1" x14ac:dyDescent="0.2">
      <c r="B44" s="80"/>
      <c r="C44" s="33"/>
      <c r="D44" s="33"/>
      <c r="E44" s="67"/>
      <c r="F44" s="33"/>
      <c r="G44" s="1079"/>
      <c r="H44" s="1079"/>
      <c r="I44" s="373"/>
      <c r="J44" s="68"/>
      <c r="K44" s="33"/>
      <c r="L44" s="1709" t="s">
        <v>960</v>
      </c>
      <c r="M44" s="1343">
        <v>3</v>
      </c>
      <c r="N44" s="1143" t="s">
        <v>300</v>
      </c>
      <c r="O44" s="1235">
        <v>300000</v>
      </c>
      <c r="P44" s="1249">
        <f t="shared" si="0"/>
        <v>900000</v>
      </c>
    </row>
    <row r="45" spans="2:16" ht="26.45" customHeight="1" x14ac:dyDescent="0.2">
      <c r="B45" s="80"/>
      <c r="C45" s="33"/>
      <c r="D45" s="33"/>
      <c r="E45" s="67"/>
      <c r="F45" s="33"/>
      <c r="G45" s="1079"/>
      <c r="H45" s="1079"/>
      <c r="I45" s="373"/>
      <c r="J45" s="68"/>
      <c r="K45" s="33"/>
      <c r="L45" s="624" t="s">
        <v>1016</v>
      </c>
      <c r="M45" s="1343">
        <v>6</v>
      </c>
      <c r="N45" s="1497" t="s">
        <v>300</v>
      </c>
      <c r="O45" s="1875">
        <v>100000</v>
      </c>
      <c r="P45" s="1687">
        <f t="shared" si="0"/>
        <v>600000</v>
      </c>
    </row>
    <row r="46" spans="2:16" ht="12.95" customHeight="1" x14ac:dyDescent="0.2">
      <c r="B46" s="80"/>
      <c r="C46" s="33"/>
      <c r="D46" s="33"/>
      <c r="E46" s="67"/>
      <c r="F46" s="33"/>
      <c r="G46" s="1079"/>
      <c r="H46" s="1079"/>
      <c r="I46" s="373"/>
      <c r="J46" s="68"/>
      <c r="K46" s="33"/>
      <c r="L46" s="137" t="s">
        <v>961</v>
      </c>
      <c r="M46" s="1343">
        <v>2</v>
      </c>
      <c r="N46" s="1143" t="s">
        <v>300</v>
      </c>
      <c r="O46" s="1492">
        <v>100000</v>
      </c>
      <c r="P46" s="267">
        <f t="shared" si="0"/>
        <v>200000</v>
      </c>
    </row>
    <row r="47" spans="2:16" ht="12.95" customHeight="1" x14ac:dyDescent="0.2">
      <c r="B47" s="80"/>
      <c r="C47" s="33"/>
      <c r="D47" s="33"/>
      <c r="E47" s="67"/>
      <c r="F47" s="33"/>
      <c r="G47" s="1079"/>
      <c r="H47" s="1079"/>
      <c r="I47" s="373"/>
      <c r="J47" s="68"/>
      <c r="K47" s="33"/>
      <c r="L47" s="1710" t="s">
        <v>962</v>
      </c>
      <c r="M47" s="1711">
        <f>6*2*9</f>
        <v>108</v>
      </c>
      <c r="N47" s="1712" t="s">
        <v>300</v>
      </c>
      <c r="O47" s="1713">
        <v>50000</v>
      </c>
      <c r="P47" s="1687">
        <f>O47*M47</f>
        <v>5400000</v>
      </c>
    </row>
    <row r="48" spans="2:16" ht="12.95" customHeight="1" x14ac:dyDescent="0.2">
      <c r="B48" s="80"/>
      <c r="C48" s="33"/>
      <c r="D48" s="33"/>
      <c r="E48" s="67"/>
      <c r="F48" s="33"/>
      <c r="G48" s="1079"/>
      <c r="H48" s="1079"/>
      <c r="I48" s="373"/>
      <c r="J48" s="68"/>
      <c r="K48" s="33"/>
      <c r="L48" s="1708" t="s">
        <v>963</v>
      </c>
      <c r="M48" s="1343">
        <f>2*27</f>
        <v>54</v>
      </c>
      <c r="N48" s="1143" t="s">
        <v>300</v>
      </c>
      <c r="O48" s="1248">
        <v>50000</v>
      </c>
      <c r="P48" s="1249">
        <f>O48*M48</f>
        <v>2700000</v>
      </c>
    </row>
    <row r="49" spans="2:16" ht="12.95" customHeight="1" x14ac:dyDescent="0.2">
      <c r="B49" s="80"/>
      <c r="C49" s="33"/>
      <c r="D49" s="33"/>
      <c r="E49" s="67"/>
      <c r="F49" s="33"/>
      <c r="G49" s="1079"/>
      <c r="H49" s="1079"/>
      <c r="I49" s="373"/>
      <c r="J49" s="68"/>
      <c r="K49" s="33"/>
      <c r="L49" s="118"/>
      <c r="M49" s="1396"/>
      <c r="N49" s="265"/>
      <c r="O49" s="268"/>
      <c r="P49" s="267"/>
    </row>
    <row r="50" spans="2:16" ht="12.95" customHeight="1" x14ac:dyDescent="0.2">
      <c r="B50" s="80">
        <v>1</v>
      </c>
      <c r="C50" s="33" t="s">
        <v>440</v>
      </c>
      <c r="D50" s="33" t="s">
        <v>142</v>
      </c>
      <c r="E50" s="60">
        <v>18</v>
      </c>
      <c r="F50" s="357" t="s">
        <v>164</v>
      </c>
      <c r="G50" s="46">
        <v>5</v>
      </c>
      <c r="H50" s="46">
        <v>2</v>
      </c>
      <c r="I50" s="1079">
        <v>2</v>
      </c>
      <c r="J50" s="1079"/>
      <c r="K50" s="1079"/>
      <c r="L50" s="138" t="s">
        <v>120</v>
      </c>
      <c r="M50" s="1348"/>
      <c r="N50" s="265"/>
      <c r="O50" s="266"/>
      <c r="P50" s="269">
        <f>P51+P76+P87+P98+P107</f>
        <v>34411380</v>
      </c>
    </row>
    <row r="51" spans="2:16" ht="12.95" customHeight="1" x14ac:dyDescent="0.2">
      <c r="B51" s="80">
        <v>1</v>
      </c>
      <c r="C51" s="33" t="s">
        <v>440</v>
      </c>
      <c r="D51" s="33" t="s">
        <v>142</v>
      </c>
      <c r="E51" s="60">
        <v>18</v>
      </c>
      <c r="F51" s="357" t="s">
        <v>164</v>
      </c>
      <c r="G51" s="46">
        <v>5</v>
      </c>
      <c r="H51" s="46">
        <v>2</v>
      </c>
      <c r="I51" s="46">
        <v>2</v>
      </c>
      <c r="J51" s="33" t="s">
        <v>142</v>
      </c>
      <c r="K51" s="1079"/>
      <c r="L51" s="258" t="s">
        <v>109</v>
      </c>
      <c r="M51" s="1348"/>
      <c r="N51" s="1493"/>
      <c r="O51" s="1238"/>
      <c r="P51" s="269">
        <f>P52+P70</f>
        <v>6918880</v>
      </c>
    </row>
    <row r="52" spans="2:16" ht="12.95" customHeight="1" x14ac:dyDescent="0.2">
      <c r="B52" s="80">
        <v>1</v>
      </c>
      <c r="C52" s="33" t="s">
        <v>440</v>
      </c>
      <c r="D52" s="33" t="s">
        <v>142</v>
      </c>
      <c r="E52" s="60">
        <v>18</v>
      </c>
      <c r="F52" s="357" t="s">
        <v>164</v>
      </c>
      <c r="G52" s="46">
        <v>5</v>
      </c>
      <c r="H52" s="46">
        <v>2</v>
      </c>
      <c r="I52" s="46">
        <v>2</v>
      </c>
      <c r="J52" s="33" t="s">
        <v>142</v>
      </c>
      <c r="K52" s="33" t="s">
        <v>142</v>
      </c>
      <c r="L52" s="1638" t="s">
        <v>976</v>
      </c>
      <c r="M52" s="1406"/>
      <c r="N52" s="1605"/>
      <c r="O52" s="1639"/>
      <c r="P52" s="1594">
        <f>SUM(P53:P68)+1890</f>
        <v>6918880</v>
      </c>
    </row>
    <row r="53" spans="2:16" ht="12.95" customHeight="1" x14ac:dyDescent="0.2">
      <c r="B53" s="80"/>
      <c r="C53" s="33"/>
      <c r="D53" s="33"/>
      <c r="E53" s="67"/>
      <c r="F53" s="60"/>
      <c r="G53" s="1079"/>
      <c r="H53" s="1079"/>
      <c r="I53" s="1079"/>
      <c r="J53" s="33"/>
      <c r="K53" s="33"/>
      <c r="L53" s="37" t="s">
        <v>282</v>
      </c>
      <c r="M53" s="1483">
        <v>1</v>
      </c>
      <c r="N53" s="185" t="s">
        <v>114</v>
      </c>
      <c r="O53" s="270">
        <v>47730</v>
      </c>
      <c r="P53" s="636">
        <f t="shared" ref="P53:P67" si="2">O53*M53</f>
        <v>47730</v>
      </c>
    </row>
    <row r="54" spans="2:16" ht="12.95" customHeight="1" x14ac:dyDescent="0.2">
      <c r="B54" s="80"/>
      <c r="C54" s="33"/>
      <c r="D54" s="33"/>
      <c r="E54" s="67"/>
      <c r="F54" s="60"/>
      <c r="G54" s="1079"/>
      <c r="H54" s="1079"/>
      <c r="I54" s="1079"/>
      <c r="J54" s="33"/>
      <c r="K54" s="33"/>
      <c r="L54" s="37" t="s">
        <v>603</v>
      </c>
      <c r="M54" s="1483">
        <v>6</v>
      </c>
      <c r="N54" s="185" t="s">
        <v>495</v>
      </c>
      <c r="O54" s="270">
        <v>10000</v>
      </c>
      <c r="P54" s="636">
        <f t="shared" si="2"/>
        <v>60000</v>
      </c>
    </row>
    <row r="55" spans="2:16" ht="12.95" customHeight="1" x14ac:dyDescent="0.2">
      <c r="B55" s="80"/>
      <c r="C55" s="33"/>
      <c r="D55" s="33"/>
      <c r="E55" s="67"/>
      <c r="F55" s="60"/>
      <c r="G55" s="1079"/>
      <c r="H55" s="1079"/>
      <c r="I55" s="1079"/>
      <c r="J55" s="33"/>
      <c r="K55" s="33"/>
      <c r="L55" s="37" t="s">
        <v>800</v>
      </c>
      <c r="M55" s="1483">
        <v>3</v>
      </c>
      <c r="N55" s="185" t="s">
        <v>495</v>
      </c>
      <c r="O55" s="270">
        <v>8750</v>
      </c>
      <c r="P55" s="636">
        <f t="shared" si="2"/>
        <v>26250</v>
      </c>
    </row>
    <row r="56" spans="2:16" ht="12.95" customHeight="1" x14ac:dyDescent="0.2">
      <c r="B56" s="80"/>
      <c r="C56" s="33"/>
      <c r="D56" s="33"/>
      <c r="E56" s="67"/>
      <c r="F56" s="60"/>
      <c r="G56" s="1079"/>
      <c r="H56" s="1079"/>
      <c r="I56" s="1079"/>
      <c r="J56" s="33"/>
      <c r="K56" s="33"/>
      <c r="L56" s="37" t="s">
        <v>964</v>
      </c>
      <c r="M56" s="1483">
        <v>4</v>
      </c>
      <c r="N56" s="185" t="s">
        <v>496</v>
      </c>
      <c r="O56" s="270">
        <v>13750</v>
      </c>
      <c r="P56" s="636">
        <f t="shared" si="2"/>
        <v>55000</v>
      </c>
    </row>
    <row r="57" spans="2:16" ht="12.95" customHeight="1" x14ac:dyDescent="0.2">
      <c r="B57" s="80"/>
      <c r="C57" s="33"/>
      <c r="D57" s="33"/>
      <c r="E57" s="67"/>
      <c r="F57" s="60"/>
      <c r="G57" s="1079"/>
      <c r="H57" s="1079"/>
      <c r="I57" s="1079"/>
      <c r="J57" s="33"/>
      <c r="K57" s="33"/>
      <c r="L57" s="37" t="s">
        <v>829</v>
      </c>
      <c r="M57" s="1483">
        <v>1</v>
      </c>
      <c r="N57" s="185" t="s">
        <v>496</v>
      </c>
      <c r="O57" s="270">
        <v>62500</v>
      </c>
      <c r="P57" s="636">
        <f t="shared" si="2"/>
        <v>62500</v>
      </c>
    </row>
    <row r="58" spans="2:16" ht="12.95" customHeight="1" x14ac:dyDescent="0.2">
      <c r="B58" s="80"/>
      <c r="C58" s="33"/>
      <c r="D58" s="33"/>
      <c r="E58" s="67"/>
      <c r="F58" s="60"/>
      <c r="G58" s="1079"/>
      <c r="H58" s="1079"/>
      <c r="I58" s="1079"/>
      <c r="J58" s="33"/>
      <c r="K58" s="33"/>
      <c r="L58" s="37" t="s">
        <v>966</v>
      </c>
      <c r="M58" s="1483">
        <v>2</v>
      </c>
      <c r="N58" s="185" t="s">
        <v>967</v>
      </c>
      <c r="O58" s="270">
        <f>1250*12</f>
        <v>15000</v>
      </c>
      <c r="P58" s="636">
        <f t="shared" si="2"/>
        <v>30000</v>
      </c>
    </row>
    <row r="59" spans="2:16" ht="12.95" customHeight="1" x14ac:dyDescent="0.2">
      <c r="B59" s="80"/>
      <c r="C59" s="33"/>
      <c r="D59" s="33"/>
      <c r="E59" s="67"/>
      <c r="F59" s="60"/>
      <c r="G59" s="1079"/>
      <c r="H59" s="1079"/>
      <c r="I59" s="1079"/>
      <c r="J59" s="33"/>
      <c r="K59" s="33"/>
      <c r="L59" s="37" t="s">
        <v>968</v>
      </c>
      <c r="M59" s="1483">
        <v>3</v>
      </c>
      <c r="N59" s="185" t="s">
        <v>495</v>
      </c>
      <c r="O59" s="270">
        <v>13750</v>
      </c>
      <c r="P59" s="636">
        <f t="shared" si="2"/>
        <v>41250</v>
      </c>
    </row>
    <row r="60" spans="2:16" ht="12.95" customHeight="1" x14ac:dyDescent="0.2">
      <c r="B60" s="80"/>
      <c r="C60" s="33"/>
      <c r="D60" s="33"/>
      <c r="E60" s="67"/>
      <c r="F60" s="60"/>
      <c r="G60" s="1079"/>
      <c r="H60" s="1079"/>
      <c r="I60" s="1079"/>
      <c r="J60" s="33"/>
      <c r="K60" s="33"/>
      <c r="L60" s="37" t="s">
        <v>969</v>
      </c>
      <c r="M60" s="1483">
        <v>3</v>
      </c>
      <c r="N60" s="185" t="s">
        <v>113</v>
      </c>
      <c r="O60" s="270">
        <v>2500</v>
      </c>
      <c r="P60" s="636">
        <f t="shared" si="2"/>
        <v>7500</v>
      </c>
    </row>
    <row r="61" spans="2:16" ht="12.95" customHeight="1" x14ac:dyDescent="0.2">
      <c r="B61" s="80"/>
      <c r="C61" s="33"/>
      <c r="D61" s="33"/>
      <c r="E61" s="67"/>
      <c r="F61" s="60"/>
      <c r="G61" s="1079"/>
      <c r="H61" s="1079"/>
      <c r="I61" s="1079"/>
      <c r="J61" s="1079"/>
      <c r="K61" s="33"/>
      <c r="L61" s="37" t="s">
        <v>831</v>
      </c>
      <c r="M61" s="1483">
        <v>27</v>
      </c>
      <c r="N61" s="185" t="s">
        <v>128</v>
      </c>
      <c r="O61" s="270">
        <v>3600</v>
      </c>
      <c r="P61" s="636">
        <f t="shared" si="2"/>
        <v>97200</v>
      </c>
    </row>
    <row r="62" spans="2:16" ht="12.95" customHeight="1" x14ac:dyDescent="0.2">
      <c r="B62" s="80"/>
      <c r="C62" s="33"/>
      <c r="D62" s="33"/>
      <c r="E62" s="67"/>
      <c r="F62" s="60"/>
      <c r="G62" s="1079"/>
      <c r="H62" s="1079"/>
      <c r="I62" s="1079"/>
      <c r="J62" s="1079"/>
      <c r="K62" s="33"/>
      <c r="L62" s="37" t="s">
        <v>970</v>
      </c>
      <c r="M62" s="1483">
        <v>30</v>
      </c>
      <c r="N62" s="185" t="s">
        <v>128</v>
      </c>
      <c r="O62" s="270">
        <v>3645</v>
      </c>
      <c r="P62" s="636">
        <f t="shared" si="2"/>
        <v>109350</v>
      </c>
    </row>
    <row r="63" spans="2:16" ht="12.95" customHeight="1" x14ac:dyDescent="0.2">
      <c r="B63" s="80"/>
      <c r="C63" s="33"/>
      <c r="D63" s="33"/>
      <c r="E63" s="67"/>
      <c r="F63" s="60"/>
      <c r="G63" s="1079"/>
      <c r="H63" s="1079"/>
      <c r="I63" s="1079"/>
      <c r="J63" s="1079"/>
      <c r="K63" s="33"/>
      <c r="L63" s="37" t="s">
        <v>971</v>
      </c>
      <c r="M63" s="1483">
        <v>27</v>
      </c>
      <c r="N63" s="185" t="s">
        <v>128</v>
      </c>
      <c r="O63" s="270">
        <v>15000</v>
      </c>
      <c r="P63" s="636">
        <f t="shared" si="2"/>
        <v>405000</v>
      </c>
    </row>
    <row r="64" spans="2:16" ht="12.95" customHeight="1" x14ac:dyDescent="0.2">
      <c r="B64" s="80"/>
      <c r="C64" s="33"/>
      <c r="D64" s="33"/>
      <c r="E64" s="67"/>
      <c r="F64" s="60"/>
      <c r="G64" s="1079"/>
      <c r="H64" s="1079"/>
      <c r="I64" s="1079"/>
      <c r="J64" s="1079"/>
      <c r="K64" s="33"/>
      <c r="L64" s="71" t="s">
        <v>972</v>
      </c>
      <c r="M64" s="1483">
        <v>54</v>
      </c>
      <c r="N64" s="185" t="s">
        <v>128</v>
      </c>
      <c r="O64" s="270">
        <v>3000</v>
      </c>
      <c r="P64" s="636">
        <f t="shared" si="2"/>
        <v>162000</v>
      </c>
    </row>
    <row r="65" spans="2:23" ht="12.95" customHeight="1" x14ac:dyDescent="0.2">
      <c r="B65" s="80"/>
      <c r="C65" s="33"/>
      <c r="D65" s="33"/>
      <c r="E65" s="67"/>
      <c r="F65" s="60"/>
      <c r="G65" s="1079"/>
      <c r="H65" s="1079"/>
      <c r="I65" s="1079"/>
      <c r="J65" s="1079"/>
      <c r="K65" s="33"/>
      <c r="L65" s="71" t="s">
        <v>973</v>
      </c>
      <c r="M65" s="1483">
        <v>62</v>
      </c>
      <c r="N65" s="185" t="s">
        <v>495</v>
      </c>
      <c r="O65" s="270">
        <v>8750</v>
      </c>
      <c r="P65" s="636">
        <f t="shared" si="2"/>
        <v>542500</v>
      </c>
    </row>
    <row r="66" spans="2:23" ht="12.95" customHeight="1" x14ac:dyDescent="0.2">
      <c r="B66" s="80"/>
      <c r="C66" s="33"/>
      <c r="D66" s="33"/>
      <c r="E66" s="67"/>
      <c r="F66" s="60"/>
      <c r="G66" s="1079"/>
      <c r="H66" s="1079"/>
      <c r="I66" s="1079"/>
      <c r="J66" s="1079"/>
      <c r="K66" s="33"/>
      <c r="L66" s="71" t="s">
        <v>974</v>
      </c>
      <c r="M66" s="1483">
        <v>62</v>
      </c>
      <c r="N66" s="185" t="s">
        <v>128</v>
      </c>
      <c r="O66" s="270">
        <v>3600</v>
      </c>
      <c r="P66" s="636">
        <f t="shared" si="2"/>
        <v>223200</v>
      </c>
    </row>
    <row r="67" spans="2:23" ht="12.95" customHeight="1" x14ac:dyDescent="0.2">
      <c r="B67" s="80"/>
      <c r="C67" s="33"/>
      <c r="D67" s="33"/>
      <c r="E67" s="67"/>
      <c r="F67" s="60"/>
      <c r="G67" s="1079"/>
      <c r="H67" s="1079"/>
      <c r="I67" s="1079"/>
      <c r="J67" s="1079"/>
      <c r="K67" s="33"/>
      <c r="L67" s="1993" t="s">
        <v>1179</v>
      </c>
      <c r="M67" s="1994">
        <v>1</v>
      </c>
      <c r="N67" s="1995" t="s">
        <v>496</v>
      </c>
      <c r="O67" s="1996">
        <v>87510</v>
      </c>
      <c r="P67" s="636">
        <f t="shared" si="2"/>
        <v>87510</v>
      </c>
    </row>
    <row r="68" spans="2:23" ht="12.95" customHeight="1" x14ac:dyDescent="0.2">
      <c r="B68" s="80"/>
      <c r="C68" s="33"/>
      <c r="D68" s="33"/>
      <c r="E68" s="67"/>
      <c r="F68" s="60"/>
      <c r="G68" s="1079"/>
      <c r="H68" s="1079"/>
      <c r="I68" s="1079"/>
      <c r="J68" s="1079"/>
      <c r="K68" s="33"/>
      <c r="L68" s="1714" t="s">
        <v>975</v>
      </c>
      <c r="M68" s="1346">
        <v>62</v>
      </c>
      <c r="N68" s="1328" t="s">
        <v>495</v>
      </c>
      <c r="O68" s="1333">
        <v>80000</v>
      </c>
      <c r="P68" s="636">
        <f>O68*M68</f>
        <v>4960000</v>
      </c>
    </row>
    <row r="69" spans="2:23" ht="12.95" customHeight="1" x14ac:dyDescent="0.2">
      <c r="B69" s="80"/>
      <c r="C69" s="33"/>
      <c r="D69" s="33"/>
      <c r="E69" s="67"/>
      <c r="F69" s="60"/>
      <c r="G69" s="1079"/>
      <c r="H69" s="1079"/>
      <c r="I69" s="1079"/>
      <c r="J69" s="1079"/>
      <c r="K69" s="33"/>
      <c r="L69" s="37"/>
      <c r="M69" s="1483"/>
      <c r="N69" s="185"/>
      <c r="O69" s="270"/>
      <c r="P69" s="260"/>
    </row>
    <row r="70" spans="2:23" ht="12.95" customHeight="1" x14ac:dyDescent="0.2">
      <c r="B70" s="355">
        <v>1</v>
      </c>
      <c r="C70" s="356" t="s">
        <v>440</v>
      </c>
      <c r="D70" s="356" t="s">
        <v>142</v>
      </c>
      <c r="E70" s="357">
        <v>18</v>
      </c>
      <c r="F70" s="357" t="s">
        <v>164</v>
      </c>
      <c r="G70" s="358">
        <v>5</v>
      </c>
      <c r="H70" s="358">
        <v>2</v>
      </c>
      <c r="I70" s="358">
        <v>2</v>
      </c>
      <c r="J70" s="356" t="s">
        <v>142</v>
      </c>
      <c r="K70" s="356" t="s">
        <v>298</v>
      </c>
      <c r="L70" s="1637" t="s">
        <v>299</v>
      </c>
      <c r="M70" s="1348"/>
      <c r="N70" s="265"/>
      <c r="O70" s="266"/>
      <c r="P70" s="483">
        <f>SUM(P71:P74)</f>
        <v>0</v>
      </c>
    </row>
    <row r="71" spans="2:23" ht="12.95" customHeight="1" x14ac:dyDescent="0.2">
      <c r="B71" s="80"/>
      <c r="C71" s="33"/>
      <c r="D71" s="33"/>
      <c r="E71" s="67"/>
      <c r="F71" s="33"/>
      <c r="G71" s="1079"/>
      <c r="H71" s="1079"/>
      <c r="I71" s="1079"/>
      <c r="J71" s="1079"/>
      <c r="K71" s="33"/>
      <c r="L71" s="623" t="s">
        <v>652</v>
      </c>
      <c r="M71" s="1483">
        <v>0</v>
      </c>
      <c r="N71" s="185" t="s">
        <v>285</v>
      </c>
      <c r="O71" s="270">
        <v>2500000</v>
      </c>
      <c r="P71" s="260">
        <f t="shared" ref="P71:P74" si="3">O71*M71</f>
        <v>0</v>
      </c>
    </row>
    <row r="72" spans="2:23" ht="12.95" customHeight="1" x14ac:dyDescent="0.2">
      <c r="B72" s="80"/>
      <c r="C72" s="33"/>
      <c r="D72" s="33"/>
      <c r="E72" s="67"/>
      <c r="F72" s="33"/>
      <c r="G72" s="1079"/>
      <c r="H72" s="1079"/>
      <c r="I72" s="1079"/>
      <c r="J72" s="1079"/>
      <c r="K72" s="33"/>
      <c r="L72" s="623" t="s">
        <v>651</v>
      </c>
      <c r="M72" s="1483">
        <v>0</v>
      </c>
      <c r="N72" s="185" t="s">
        <v>285</v>
      </c>
      <c r="O72" s="270">
        <v>2000000</v>
      </c>
      <c r="P72" s="260">
        <f t="shared" si="3"/>
        <v>0</v>
      </c>
    </row>
    <row r="73" spans="2:23" ht="12.95" customHeight="1" x14ac:dyDescent="0.2">
      <c r="B73" s="80"/>
      <c r="C73" s="33"/>
      <c r="D73" s="33"/>
      <c r="E73" s="67"/>
      <c r="F73" s="33"/>
      <c r="G73" s="1079"/>
      <c r="H73" s="1079"/>
      <c r="I73" s="1079"/>
      <c r="J73" s="1079"/>
      <c r="K73" s="33"/>
      <c r="L73" s="623" t="s">
        <v>650</v>
      </c>
      <c r="M73" s="1483">
        <v>0</v>
      </c>
      <c r="N73" s="185" t="s">
        <v>285</v>
      </c>
      <c r="O73" s="270">
        <v>1500000</v>
      </c>
      <c r="P73" s="260">
        <f t="shared" si="3"/>
        <v>0</v>
      </c>
    </row>
    <row r="74" spans="2:23" ht="12.95" customHeight="1" x14ac:dyDescent="0.2">
      <c r="B74" s="80"/>
      <c r="C74" s="33"/>
      <c r="D74" s="33"/>
      <c r="E74" s="67"/>
      <c r="F74" s="33"/>
      <c r="G74" s="1079"/>
      <c r="H74" s="1079"/>
      <c r="I74" s="1079"/>
      <c r="J74" s="1079"/>
      <c r="K74" s="33"/>
      <c r="L74" s="277" t="s">
        <v>977</v>
      </c>
      <c r="M74" s="1483">
        <v>0</v>
      </c>
      <c r="N74" s="185" t="s">
        <v>286</v>
      </c>
      <c r="O74" s="270">
        <v>1000000</v>
      </c>
      <c r="P74" s="260">
        <f t="shared" si="3"/>
        <v>0</v>
      </c>
    </row>
    <row r="75" spans="2:23" ht="12.95" customHeight="1" x14ac:dyDescent="0.2">
      <c r="B75" s="80"/>
      <c r="C75" s="33"/>
      <c r="D75" s="33"/>
      <c r="E75" s="67"/>
      <c r="F75" s="33"/>
      <c r="G75" s="1079"/>
      <c r="H75" s="1079"/>
      <c r="I75" s="1079"/>
      <c r="J75" s="1079"/>
      <c r="K75" s="33"/>
      <c r="L75" s="277"/>
      <c r="M75" s="1483"/>
      <c r="N75" s="185"/>
      <c r="O75" s="270"/>
      <c r="P75" s="260"/>
    </row>
    <row r="76" spans="2:23" ht="12.95" customHeight="1" x14ac:dyDescent="0.2">
      <c r="B76" s="80">
        <v>1</v>
      </c>
      <c r="C76" s="33" t="s">
        <v>440</v>
      </c>
      <c r="D76" s="33" t="s">
        <v>142</v>
      </c>
      <c r="E76" s="60">
        <v>18</v>
      </c>
      <c r="F76" s="357" t="s">
        <v>164</v>
      </c>
      <c r="G76" s="46">
        <v>5</v>
      </c>
      <c r="H76" s="46">
        <v>2</v>
      </c>
      <c r="I76" s="46">
        <v>2</v>
      </c>
      <c r="J76" s="33" t="s">
        <v>164</v>
      </c>
      <c r="K76" s="33"/>
      <c r="L76" s="191" t="s">
        <v>112</v>
      </c>
      <c r="M76" s="1483"/>
      <c r="N76" s="185"/>
      <c r="O76" s="270"/>
      <c r="P76" s="259">
        <f>P77+P81</f>
        <v>7700000</v>
      </c>
    </row>
    <row r="77" spans="2:23" ht="12.95" customHeight="1" x14ac:dyDescent="0.2">
      <c r="B77" s="80">
        <v>1</v>
      </c>
      <c r="C77" s="33" t="s">
        <v>440</v>
      </c>
      <c r="D77" s="33" t="s">
        <v>142</v>
      </c>
      <c r="E77" s="60">
        <v>18</v>
      </c>
      <c r="F77" s="357" t="s">
        <v>164</v>
      </c>
      <c r="G77" s="46">
        <v>5</v>
      </c>
      <c r="H77" s="46">
        <v>2</v>
      </c>
      <c r="I77" s="46">
        <v>2</v>
      </c>
      <c r="J77" s="33" t="s">
        <v>164</v>
      </c>
      <c r="K77" s="33">
        <v>12</v>
      </c>
      <c r="L77" s="199" t="s">
        <v>240</v>
      </c>
      <c r="M77" s="1348"/>
      <c r="N77" s="265"/>
      <c r="O77" s="266"/>
      <c r="P77" s="267">
        <f>SUM(P78:P79)</f>
        <v>1520000</v>
      </c>
    </row>
    <row r="78" spans="2:23" ht="12.95" customHeight="1" x14ac:dyDescent="0.2">
      <c r="B78" s="80"/>
      <c r="C78" s="33"/>
      <c r="D78" s="33"/>
      <c r="E78" s="67"/>
      <c r="F78" s="33"/>
      <c r="G78" s="1079"/>
      <c r="H78" s="1079"/>
      <c r="I78" s="1079"/>
      <c r="J78" s="1079"/>
      <c r="K78" s="33"/>
      <c r="L78" s="37" t="s">
        <v>1017</v>
      </c>
      <c r="M78" s="1483">
        <v>12</v>
      </c>
      <c r="N78" s="185" t="s">
        <v>289</v>
      </c>
      <c r="O78" s="270">
        <v>60000</v>
      </c>
      <c r="P78" s="260">
        <f>O78*M78</f>
        <v>720000</v>
      </c>
      <c r="R78" s="21"/>
      <c r="S78" s="187" t="e">
        <f>#REF!+#REF!+S79+S80+#REF!</f>
        <v>#REF!</v>
      </c>
      <c r="T78" s="21"/>
      <c r="U78" s="21"/>
      <c r="V78" s="21"/>
      <c r="W78" s="21"/>
    </row>
    <row r="79" spans="2:23" ht="12.95" customHeight="1" x14ac:dyDescent="0.2">
      <c r="B79" s="80"/>
      <c r="C79" s="33"/>
      <c r="D79" s="33"/>
      <c r="E79" s="67"/>
      <c r="F79" s="33"/>
      <c r="G79" s="1079"/>
      <c r="H79" s="1079"/>
      <c r="I79" s="1079"/>
      <c r="J79" s="1079"/>
      <c r="K79" s="33"/>
      <c r="L79" s="37" t="s">
        <v>1018</v>
      </c>
      <c r="M79" s="1483">
        <v>1</v>
      </c>
      <c r="N79" s="185" t="s">
        <v>167</v>
      </c>
      <c r="O79" s="270">
        <v>800000</v>
      </c>
      <c r="P79" s="260">
        <f>O79*M79</f>
        <v>800000</v>
      </c>
      <c r="R79" s="21"/>
      <c r="S79" s="21">
        <v>2</v>
      </c>
      <c r="T79" s="21" t="s">
        <v>634</v>
      </c>
      <c r="U79" s="21"/>
      <c r="V79" s="21"/>
      <c r="W79" s="21"/>
    </row>
    <row r="80" spans="2:23" s="1" customFormat="1" ht="11.1" customHeight="1" x14ac:dyDescent="0.2">
      <c r="B80" s="80"/>
      <c r="C80" s="33"/>
      <c r="D80" s="33"/>
      <c r="E80" s="67"/>
      <c r="F80" s="33"/>
      <c r="G80" s="1079"/>
      <c r="H80" s="1079"/>
      <c r="I80" s="1079"/>
      <c r="J80" s="1079"/>
      <c r="K80" s="33"/>
      <c r="L80" s="200"/>
      <c r="M80" s="1483"/>
      <c r="N80" s="185"/>
      <c r="O80" s="270"/>
      <c r="P80" s="260"/>
      <c r="R80" s="574"/>
      <c r="S80" s="574">
        <v>1</v>
      </c>
      <c r="T80" s="574" t="s">
        <v>635</v>
      </c>
      <c r="U80" s="574"/>
      <c r="V80" s="574"/>
      <c r="W80" s="574"/>
    </row>
    <row r="81" spans="2:23" ht="12.95" customHeight="1" x14ac:dyDescent="0.2">
      <c r="B81" s="80">
        <v>1</v>
      </c>
      <c r="C81" s="33" t="s">
        <v>440</v>
      </c>
      <c r="D81" s="33" t="s">
        <v>142</v>
      </c>
      <c r="E81" s="60">
        <v>18</v>
      </c>
      <c r="F81" s="357" t="s">
        <v>164</v>
      </c>
      <c r="G81" s="46">
        <v>5</v>
      </c>
      <c r="H81" s="46">
        <v>2</v>
      </c>
      <c r="I81" s="1079">
        <v>2</v>
      </c>
      <c r="J81" s="33" t="s">
        <v>164</v>
      </c>
      <c r="K81" s="33">
        <v>27</v>
      </c>
      <c r="L81" s="628" t="s">
        <v>373</v>
      </c>
      <c r="M81" s="1396"/>
      <c r="N81" s="265"/>
      <c r="O81" s="266"/>
      <c r="P81" s="1494">
        <f>SUM(P82:P85)</f>
        <v>6180000</v>
      </c>
      <c r="R81" s="575" t="e">
        <f>#REF!/12</f>
        <v>#REF!</v>
      </c>
      <c r="S81" s="485" t="s">
        <v>636</v>
      </c>
      <c r="T81" s="405"/>
      <c r="U81" s="406"/>
      <c r="V81" s="486"/>
      <c r="W81" s="487"/>
    </row>
    <row r="82" spans="2:23" ht="24.6" customHeight="1" x14ac:dyDescent="0.2">
      <c r="B82" s="80"/>
      <c r="C82" s="33"/>
      <c r="D82" s="33"/>
      <c r="E82" s="67"/>
      <c r="F82" s="67"/>
      <c r="G82" s="1079"/>
      <c r="H82" s="1079"/>
      <c r="I82" s="373"/>
      <c r="J82" s="68"/>
      <c r="K82" s="33"/>
      <c r="L82" s="555" t="s">
        <v>978</v>
      </c>
      <c r="M82" s="1442">
        <f>1*2*4</f>
        <v>8</v>
      </c>
      <c r="N82" s="1370" t="s">
        <v>575</v>
      </c>
      <c r="O82" s="1342">
        <v>300000</v>
      </c>
      <c r="P82" s="1643">
        <f t="shared" ref="P82:P85" si="4">O82*M82</f>
        <v>2400000</v>
      </c>
      <c r="R82" s="21"/>
      <c r="S82" s="21"/>
      <c r="T82" s="21"/>
      <c r="U82" s="21"/>
      <c r="V82" s="21"/>
      <c r="W82" s="21"/>
    </row>
    <row r="83" spans="2:23" ht="24" customHeight="1" x14ac:dyDescent="0.2">
      <c r="B83" s="80"/>
      <c r="C83" s="33"/>
      <c r="D83" s="33"/>
      <c r="E83" s="67"/>
      <c r="F83" s="67"/>
      <c r="G83" s="1079"/>
      <c r="H83" s="1079"/>
      <c r="I83" s="373"/>
      <c r="J83" s="68"/>
      <c r="K83" s="33"/>
      <c r="L83" s="555" t="s">
        <v>979</v>
      </c>
      <c r="M83" s="1442">
        <f>1*2*4</f>
        <v>8</v>
      </c>
      <c r="N83" s="1370" t="s">
        <v>575</v>
      </c>
      <c r="O83" s="1342">
        <v>250000</v>
      </c>
      <c r="P83" s="1643">
        <f t="shared" si="4"/>
        <v>2000000</v>
      </c>
      <c r="R83" s="187"/>
      <c r="S83" s="21"/>
      <c r="T83" s="21"/>
      <c r="U83" s="21"/>
      <c r="V83" s="21"/>
      <c r="W83" s="21"/>
    </row>
    <row r="84" spans="2:23" ht="12.95" customHeight="1" x14ac:dyDescent="0.2">
      <c r="B84" s="80"/>
      <c r="C84" s="33"/>
      <c r="D84" s="33"/>
      <c r="E84" s="67"/>
      <c r="F84" s="67"/>
      <c r="G84" s="1079"/>
      <c r="H84" s="1079"/>
      <c r="I84" s="373"/>
      <c r="J84" s="68"/>
      <c r="K84" s="33"/>
      <c r="L84" s="137" t="s">
        <v>980</v>
      </c>
      <c r="M84" s="1396">
        <f>2*4</f>
        <v>8</v>
      </c>
      <c r="N84" s="265" t="s">
        <v>177</v>
      </c>
      <c r="O84" s="1248">
        <v>35000</v>
      </c>
      <c r="P84" s="1594">
        <f t="shared" si="4"/>
        <v>280000</v>
      </c>
      <c r="R84" s="484"/>
      <c r="T84" s="130"/>
    </row>
    <row r="85" spans="2:23" ht="12.95" customHeight="1" x14ac:dyDescent="0.2">
      <c r="B85" s="80"/>
      <c r="C85" s="33"/>
      <c r="D85" s="33"/>
      <c r="E85" s="67"/>
      <c r="F85" s="67"/>
      <c r="G85" s="1079"/>
      <c r="H85" s="1079"/>
      <c r="I85" s="373"/>
      <c r="J85" s="68"/>
      <c r="K85" s="33"/>
      <c r="L85" s="137" t="s">
        <v>981</v>
      </c>
      <c r="M85" s="1395">
        <v>3</v>
      </c>
      <c r="N85" s="265" t="s">
        <v>256</v>
      </c>
      <c r="O85" s="1492">
        <v>500000</v>
      </c>
      <c r="P85" s="1594">
        <f t="shared" si="4"/>
        <v>1500000</v>
      </c>
      <c r="Q85" s="290"/>
    </row>
    <row r="86" spans="2:23" ht="12.95" customHeight="1" x14ac:dyDescent="0.2">
      <c r="B86" s="80"/>
      <c r="C86" s="33"/>
      <c r="D86" s="33"/>
      <c r="E86" s="67"/>
      <c r="F86" s="33"/>
      <c r="G86" s="1079"/>
      <c r="H86" s="1079"/>
      <c r="I86" s="1079"/>
      <c r="J86" s="1079"/>
      <c r="K86" s="33"/>
      <c r="L86" s="182"/>
      <c r="M86" s="1483"/>
      <c r="N86" s="185"/>
      <c r="O86" s="270"/>
      <c r="P86" s="260"/>
      <c r="Q86" s="290"/>
    </row>
    <row r="87" spans="2:23" ht="12.95" customHeight="1" x14ac:dyDescent="0.2">
      <c r="B87" s="80">
        <v>1</v>
      </c>
      <c r="C87" s="33" t="s">
        <v>440</v>
      </c>
      <c r="D87" s="33" t="s">
        <v>142</v>
      </c>
      <c r="E87" s="60">
        <v>18</v>
      </c>
      <c r="F87" s="357" t="s">
        <v>164</v>
      </c>
      <c r="G87" s="46">
        <v>5</v>
      </c>
      <c r="H87" s="46">
        <v>2</v>
      </c>
      <c r="I87" s="46">
        <v>2</v>
      </c>
      <c r="J87" s="33" t="s">
        <v>144</v>
      </c>
      <c r="K87" s="1079"/>
      <c r="L87" s="143" t="s">
        <v>115</v>
      </c>
      <c r="M87" s="1348"/>
      <c r="N87" s="1493"/>
      <c r="O87" s="1238"/>
      <c r="P87" s="269">
        <f>P88+P94</f>
        <v>6270000</v>
      </c>
      <c r="Q87" s="288"/>
    </row>
    <row r="88" spans="2:23" ht="12.95" customHeight="1" x14ac:dyDescent="0.2">
      <c r="B88" s="80">
        <v>1</v>
      </c>
      <c r="C88" s="33" t="s">
        <v>440</v>
      </c>
      <c r="D88" s="33" t="s">
        <v>142</v>
      </c>
      <c r="E88" s="60">
        <v>18</v>
      </c>
      <c r="F88" s="357" t="s">
        <v>164</v>
      </c>
      <c r="G88" s="46">
        <v>5</v>
      </c>
      <c r="H88" s="46">
        <v>2</v>
      </c>
      <c r="I88" s="46">
        <v>2</v>
      </c>
      <c r="J88" s="33" t="s">
        <v>144</v>
      </c>
      <c r="K88" s="33" t="s">
        <v>142</v>
      </c>
      <c r="L88" s="199" t="s">
        <v>133</v>
      </c>
      <c r="M88" s="1348"/>
      <c r="N88" s="265"/>
      <c r="O88" s="266"/>
      <c r="P88" s="267">
        <f>SUM(P89:P92)</f>
        <v>1370000</v>
      </c>
      <c r="Q88" s="288"/>
    </row>
    <row r="89" spans="2:23" ht="12.95" customHeight="1" x14ac:dyDescent="0.2">
      <c r="B89" s="80"/>
      <c r="C89" s="33"/>
      <c r="D89" s="33"/>
      <c r="E89" s="67"/>
      <c r="F89" s="33"/>
      <c r="G89" s="1079"/>
      <c r="H89" s="1079"/>
      <c r="I89" s="1079"/>
      <c r="J89" s="1079"/>
      <c r="K89" s="33"/>
      <c r="L89" s="37" t="s">
        <v>982</v>
      </c>
      <c r="M89" s="1483">
        <f>27+9+3+1+10</f>
        <v>50</v>
      </c>
      <c r="N89" s="185" t="s">
        <v>348</v>
      </c>
      <c r="O89" s="270">
        <v>14000</v>
      </c>
      <c r="P89" s="636">
        <f>O89*M89</f>
        <v>700000</v>
      </c>
    </row>
    <row r="90" spans="2:23" ht="27.6" customHeight="1" x14ac:dyDescent="0.2">
      <c r="B90" s="84"/>
      <c r="C90" s="69"/>
      <c r="D90" s="69"/>
      <c r="E90" s="70"/>
      <c r="F90" s="69"/>
      <c r="G90" s="39"/>
      <c r="H90" s="39"/>
      <c r="I90" s="39"/>
      <c r="J90" s="39"/>
      <c r="K90" s="69"/>
      <c r="L90" s="1715" t="s">
        <v>983</v>
      </c>
      <c r="M90" s="1348">
        <v>76</v>
      </c>
      <c r="N90" s="1718" t="s">
        <v>429</v>
      </c>
      <c r="O90" s="1719">
        <v>5000</v>
      </c>
      <c r="P90" s="1640">
        <f t="shared" ref="P90:P92" si="5">O90*M90</f>
        <v>380000</v>
      </c>
    </row>
    <row r="91" spans="2:23" ht="12.95" customHeight="1" x14ac:dyDescent="0.2">
      <c r="B91" s="84"/>
      <c r="C91" s="69"/>
      <c r="D91" s="69"/>
      <c r="E91" s="70"/>
      <c r="F91" s="69"/>
      <c r="G91" s="39"/>
      <c r="H91" s="39"/>
      <c r="I91" s="39"/>
      <c r="J91" s="39"/>
      <c r="K91" s="69"/>
      <c r="L91" s="71" t="s">
        <v>985</v>
      </c>
      <c r="M91" s="1483">
        <v>44</v>
      </c>
      <c r="N91" s="185" t="s">
        <v>113</v>
      </c>
      <c r="O91" s="270">
        <v>5000</v>
      </c>
      <c r="P91" s="636">
        <f t="shared" si="5"/>
        <v>220000</v>
      </c>
    </row>
    <row r="92" spans="2:23" ht="12.95" customHeight="1" x14ac:dyDescent="0.2">
      <c r="B92" s="84"/>
      <c r="C92" s="69"/>
      <c r="D92" s="69"/>
      <c r="E92" s="70"/>
      <c r="F92" s="69"/>
      <c r="G92" s="39"/>
      <c r="H92" s="39"/>
      <c r="I92" s="39"/>
      <c r="J92" s="39"/>
      <c r="K92" s="69"/>
      <c r="L92" s="1716" t="s">
        <v>984</v>
      </c>
      <c r="M92" s="1717">
        <v>1</v>
      </c>
      <c r="N92" s="821" t="s">
        <v>348</v>
      </c>
      <c r="O92" s="822">
        <v>70000</v>
      </c>
      <c r="P92" s="636">
        <f t="shared" si="5"/>
        <v>70000</v>
      </c>
    </row>
    <row r="93" spans="2:23" ht="12.95" customHeight="1" x14ac:dyDescent="0.2">
      <c r="B93" s="84"/>
      <c r="C93" s="69"/>
      <c r="D93" s="69"/>
      <c r="E93" s="70"/>
      <c r="F93" s="69"/>
      <c r="G93" s="39"/>
      <c r="H93" s="39"/>
      <c r="I93" s="39"/>
      <c r="J93" s="39"/>
      <c r="K93" s="69"/>
      <c r="L93" s="1720"/>
      <c r="M93" s="1717"/>
      <c r="N93" s="821"/>
      <c r="O93" s="822"/>
      <c r="P93" s="636"/>
    </row>
    <row r="94" spans="2:23" ht="12.95" customHeight="1" x14ac:dyDescent="0.2">
      <c r="B94" s="80">
        <v>1</v>
      </c>
      <c r="C94" s="33" t="s">
        <v>440</v>
      </c>
      <c r="D94" s="33" t="s">
        <v>142</v>
      </c>
      <c r="E94" s="60">
        <v>18</v>
      </c>
      <c r="F94" s="357" t="s">
        <v>164</v>
      </c>
      <c r="G94" s="46">
        <v>5</v>
      </c>
      <c r="H94" s="46">
        <v>2</v>
      </c>
      <c r="I94" s="46">
        <v>2</v>
      </c>
      <c r="J94" s="33" t="s">
        <v>144</v>
      </c>
      <c r="K94" s="33" t="s">
        <v>145</v>
      </c>
      <c r="L94" s="1641" t="s">
        <v>121</v>
      </c>
      <c r="M94" s="1406"/>
      <c r="N94" s="1605"/>
      <c r="O94" s="1639"/>
      <c r="P94" s="1594">
        <f>SUM(P95:P96)</f>
        <v>4900000</v>
      </c>
    </row>
    <row r="95" spans="2:23" ht="12.95" customHeight="1" x14ac:dyDescent="0.2">
      <c r="B95" s="84"/>
      <c r="C95" s="69"/>
      <c r="D95" s="69"/>
      <c r="E95" s="70"/>
      <c r="F95" s="70"/>
      <c r="G95" s="39"/>
      <c r="H95" s="39"/>
      <c r="I95" s="39"/>
      <c r="J95" s="69"/>
      <c r="K95" s="69"/>
      <c r="L95" s="71" t="s">
        <v>986</v>
      </c>
      <c r="M95" s="1998">
        <v>10000</v>
      </c>
      <c r="N95" s="185" t="s">
        <v>113</v>
      </c>
      <c r="O95" s="270">
        <v>350</v>
      </c>
      <c r="P95" s="636">
        <f>O95*M95</f>
        <v>3500000</v>
      </c>
    </row>
    <row r="96" spans="2:23" ht="24" customHeight="1" x14ac:dyDescent="0.2">
      <c r="B96" s="84"/>
      <c r="C96" s="69"/>
      <c r="D96" s="69"/>
      <c r="E96" s="70"/>
      <c r="F96" s="69"/>
      <c r="G96" s="39"/>
      <c r="H96" s="39"/>
      <c r="I96" s="39"/>
      <c r="J96" s="39"/>
      <c r="K96" s="69"/>
      <c r="L96" s="1872" t="s">
        <v>987</v>
      </c>
      <c r="M96" s="1997">
        <v>4000</v>
      </c>
      <c r="N96" s="1873" t="s">
        <v>113</v>
      </c>
      <c r="O96" s="1874">
        <v>350</v>
      </c>
      <c r="P96" s="1640">
        <f>O96*M96</f>
        <v>1400000</v>
      </c>
    </row>
    <row r="97" spans="2:21" ht="10.5" customHeight="1" x14ac:dyDescent="0.2">
      <c r="B97" s="80"/>
      <c r="C97" s="33"/>
      <c r="D97" s="33"/>
      <c r="E97" s="67"/>
      <c r="F97" s="33"/>
      <c r="G97" s="1079"/>
      <c r="H97" s="1079"/>
      <c r="I97" s="1079"/>
      <c r="J97" s="1079"/>
      <c r="K97" s="33"/>
      <c r="L97" s="257"/>
      <c r="M97" s="1483"/>
      <c r="N97" s="185"/>
      <c r="O97" s="270"/>
      <c r="P97" s="260"/>
    </row>
    <row r="98" spans="2:21" ht="13.5" customHeight="1" x14ac:dyDescent="0.2">
      <c r="B98" s="80">
        <v>1</v>
      </c>
      <c r="C98" s="33" t="s">
        <v>440</v>
      </c>
      <c r="D98" s="33" t="s">
        <v>142</v>
      </c>
      <c r="E98" s="60">
        <v>18</v>
      </c>
      <c r="F98" s="357" t="s">
        <v>164</v>
      </c>
      <c r="G98" s="46">
        <v>5</v>
      </c>
      <c r="H98" s="46">
        <v>2</v>
      </c>
      <c r="I98" s="46">
        <v>2</v>
      </c>
      <c r="J98" s="33">
        <v>11</v>
      </c>
      <c r="K98" s="1079"/>
      <c r="L98" s="143" t="s">
        <v>295</v>
      </c>
      <c r="M98" s="1348"/>
      <c r="N98" s="1238"/>
      <c r="O98" s="1239"/>
      <c r="P98" s="269">
        <f>P99</f>
        <v>6622500</v>
      </c>
    </row>
    <row r="99" spans="2:21" ht="12.95" customHeight="1" x14ac:dyDescent="0.2">
      <c r="B99" s="80">
        <v>1</v>
      </c>
      <c r="C99" s="33" t="s">
        <v>440</v>
      </c>
      <c r="D99" s="33" t="s">
        <v>142</v>
      </c>
      <c r="E99" s="60">
        <v>18</v>
      </c>
      <c r="F99" s="357" t="s">
        <v>164</v>
      </c>
      <c r="G99" s="46">
        <v>5</v>
      </c>
      <c r="H99" s="46">
        <v>2</v>
      </c>
      <c r="I99" s="46">
        <v>2</v>
      </c>
      <c r="J99" s="33">
        <v>11</v>
      </c>
      <c r="K99" s="33" t="s">
        <v>168</v>
      </c>
      <c r="L99" s="633" t="s">
        <v>296</v>
      </c>
      <c r="M99" s="1406"/>
      <c r="N99" s="1639"/>
      <c r="O99" s="1642"/>
      <c r="P99" s="1594">
        <f>SUM(P100:P105)</f>
        <v>6622500</v>
      </c>
    </row>
    <row r="100" spans="2:21" ht="12.95" customHeight="1" x14ac:dyDescent="0.2">
      <c r="B100" s="80"/>
      <c r="C100" s="33"/>
      <c r="D100" s="33"/>
      <c r="E100" s="67"/>
      <c r="F100" s="67"/>
      <c r="G100" s="1079"/>
      <c r="H100" s="1079"/>
      <c r="I100" s="1079"/>
      <c r="J100" s="33"/>
      <c r="K100" s="33"/>
      <c r="L100" s="71" t="s">
        <v>1019</v>
      </c>
      <c r="M100" s="1483">
        <v>144</v>
      </c>
      <c r="N100" s="185" t="s">
        <v>259</v>
      </c>
      <c r="O100" s="1248">
        <v>15000</v>
      </c>
      <c r="P100" s="260">
        <f t="shared" ref="P100:P105" si="6">O100*M100</f>
        <v>2160000</v>
      </c>
    </row>
    <row r="101" spans="2:21" ht="12.95" customHeight="1" x14ac:dyDescent="0.2">
      <c r="B101" s="80"/>
      <c r="C101" s="33"/>
      <c r="D101" s="33"/>
      <c r="E101" s="67"/>
      <c r="F101" s="67"/>
      <c r="G101" s="1079"/>
      <c r="H101" s="1079"/>
      <c r="I101" s="1079"/>
      <c r="J101" s="33"/>
      <c r="K101" s="33"/>
      <c r="L101" s="71" t="s">
        <v>1020</v>
      </c>
      <c r="M101" s="1483">
        <v>144</v>
      </c>
      <c r="N101" s="185" t="s">
        <v>259</v>
      </c>
      <c r="O101" s="1248">
        <v>7500</v>
      </c>
      <c r="P101" s="260">
        <f t="shared" si="6"/>
        <v>1080000</v>
      </c>
    </row>
    <row r="102" spans="2:21" ht="12.95" customHeight="1" x14ac:dyDescent="0.2">
      <c r="B102" s="80"/>
      <c r="C102" s="33"/>
      <c r="D102" s="33"/>
      <c r="E102" s="67"/>
      <c r="F102" s="33"/>
      <c r="G102" s="1079"/>
      <c r="H102" s="1079"/>
      <c r="I102" s="1079"/>
      <c r="J102" s="1079"/>
      <c r="K102" s="33"/>
      <c r="L102" s="37" t="s">
        <v>990</v>
      </c>
      <c r="M102" s="1483">
        <v>59</v>
      </c>
      <c r="N102" s="185" t="s">
        <v>259</v>
      </c>
      <c r="O102" s="1248">
        <v>15000</v>
      </c>
      <c r="P102" s="260">
        <f t="shared" si="6"/>
        <v>885000</v>
      </c>
      <c r="R102" s="139"/>
      <c r="S102" s="139"/>
      <c r="T102" s="139"/>
      <c r="U102" s="140"/>
    </row>
    <row r="103" spans="2:21" ht="12.95" customHeight="1" x14ac:dyDescent="0.2">
      <c r="B103" s="80"/>
      <c r="C103" s="33"/>
      <c r="D103" s="33"/>
      <c r="E103" s="67"/>
      <c r="F103" s="33"/>
      <c r="G103" s="1079"/>
      <c r="H103" s="1079"/>
      <c r="I103" s="1079"/>
      <c r="J103" s="1079"/>
      <c r="K103" s="33"/>
      <c r="L103" s="173" t="s">
        <v>991</v>
      </c>
      <c r="M103" s="1483">
        <f>M102</f>
        <v>59</v>
      </c>
      <c r="N103" s="185" t="s">
        <v>259</v>
      </c>
      <c r="O103" s="1248">
        <v>7500</v>
      </c>
      <c r="P103" s="260">
        <f t="shared" si="6"/>
        <v>442500</v>
      </c>
      <c r="R103" s="139"/>
      <c r="S103" s="139"/>
      <c r="T103" s="139"/>
      <c r="U103" s="140"/>
    </row>
    <row r="104" spans="2:21" ht="12.95" customHeight="1" x14ac:dyDescent="0.2">
      <c r="B104" s="80"/>
      <c r="C104" s="33"/>
      <c r="D104" s="33"/>
      <c r="E104" s="67"/>
      <c r="F104" s="33"/>
      <c r="G104" s="1079"/>
      <c r="H104" s="1079"/>
      <c r="I104" s="1079"/>
      <c r="J104" s="1079"/>
      <c r="K104" s="33"/>
      <c r="L104" s="37" t="s">
        <v>988</v>
      </c>
      <c r="M104" s="1483">
        <v>62</v>
      </c>
      <c r="N104" s="185" t="s">
        <v>259</v>
      </c>
      <c r="O104" s="1248">
        <f>O102</f>
        <v>15000</v>
      </c>
      <c r="P104" s="260">
        <f t="shared" si="6"/>
        <v>930000</v>
      </c>
    </row>
    <row r="105" spans="2:21" ht="12.95" customHeight="1" x14ac:dyDescent="0.2">
      <c r="B105" s="80"/>
      <c r="C105" s="33"/>
      <c r="D105" s="33"/>
      <c r="E105" s="67"/>
      <c r="F105" s="33"/>
      <c r="G105" s="1079"/>
      <c r="H105" s="1079"/>
      <c r="I105" s="1079"/>
      <c r="J105" s="1079"/>
      <c r="K105" s="33"/>
      <c r="L105" s="37" t="s">
        <v>989</v>
      </c>
      <c r="M105" s="1483">
        <v>150</v>
      </c>
      <c r="N105" s="185" t="s">
        <v>259</v>
      </c>
      <c r="O105" s="1248">
        <v>7500</v>
      </c>
      <c r="P105" s="260">
        <f t="shared" si="6"/>
        <v>1125000</v>
      </c>
      <c r="U105" s="120"/>
    </row>
    <row r="106" spans="2:21" ht="10.5" customHeight="1" x14ac:dyDescent="0.2">
      <c r="B106" s="80"/>
      <c r="C106" s="33"/>
      <c r="D106" s="33"/>
      <c r="E106" s="67"/>
      <c r="F106" s="33"/>
      <c r="G106" s="1079"/>
      <c r="H106" s="1079"/>
      <c r="I106" s="1079"/>
      <c r="J106" s="1079"/>
      <c r="K106" s="33"/>
      <c r="L106" s="173"/>
      <c r="M106" s="1483"/>
      <c r="N106" s="185"/>
      <c r="O106" s="270"/>
      <c r="P106" s="260"/>
      <c r="R106" s="139"/>
      <c r="S106" s="139"/>
      <c r="T106" s="139"/>
      <c r="U106" s="140"/>
    </row>
    <row r="107" spans="2:21" ht="12.95" customHeight="1" x14ac:dyDescent="0.2">
      <c r="B107" s="80">
        <v>1</v>
      </c>
      <c r="C107" s="33" t="s">
        <v>440</v>
      </c>
      <c r="D107" s="33" t="s">
        <v>142</v>
      </c>
      <c r="E107" s="60">
        <v>18</v>
      </c>
      <c r="F107" s="357" t="s">
        <v>164</v>
      </c>
      <c r="G107" s="46">
        <v>5</v>
      </c>
      <c r="H107" s="46">
        <v>2</v>
      </c>
      <c r="I107" s="46">
        <v>2</v>
      </c>
      <c r="J107" s="33">
        <v>14</v>
      </c>
      <c r="K107" s="1079"/>
      <c r="L107" s="627" t="s">
        <v>349</v>
      </c>
      <c r="M107" s="1348"/>
      <c r="N107" s="1493"/>
      <c r="O107" s="1238"/>
      <c r="P107" s="269">
        <f>P108</f>
        <v>6900000</v>
      </c>
      <c r="R107" s="139"/>
      <c r="S107" s="139"/>
      <c r="T107" s="139"/>
      <c r="U107" s="140"/>
    </row>
    <row r="108" spans="2:21" ht="12.95" customHeight="1" x14ac:dyDescent="0.2">
      <c r="B108" s="80">
        <v>1</v>
      </c>
      <c r="C108" s="33" t="s">
        <v>440</v>
      </c>
      <c r="D108" s="33" t="s">
        <v>142</v>
      </c>
      <c r="E108" s="60">
        <v>18</v>
      </c>
      <c r="F108" s="357" t="s">
        <v>164</v>
      </c>
      <c r="G108" s="46">
        <v>5</v>
      </c>
      <c r="H108" s="46">
        <v>2</v>
      </c>
      <c r="I108" s="46">
        <v>2</v>
      </c>
      <c r="J108" s="33">
        <v>14</v>
      </c>
      <c r="K108" s="33" t="s">
        <v>168</v>
      </c>
      <c r="L108" s="625" t="s">
        <v>649</v>
      </c>
      <c r="M108" s="1348"/>
      <c r="N108" s="265"/>
      <c r="O108" s="266"/>
      <c r="P108" s="267">
        <f>SUM(P109:P112)</f>
        <v>6900000</v>
      </c>
      <c r="R108" s="139"/>
      <c r="S108" s="139"/>
      <c r="T108" s="139"/>
      <c r="U108" s="140"/>
    </row>
    <row r="109" spans="2:21" ht="12.95" customHeight="1" x14ac:dyDescent="0.2">
      <c r="B109" s="80"/>
      <c r="C109" s="33"/>
      <c r="D109" s="33"/>
      <c r="E109" s="67"/>
      <c r="F109" s="60"/>
      <c r="G109" s="1079"/>
      <c r="H109" s="1079"/>
      <c r="I109" s="1079"/>
      <c r="J109" s="1079"/>
      <c r="K109" s="33"/>
      <c r="L109" s="626" t="s">
        <v>345</v>
      </c>
      <c r="M109" s="1483">
        <v>27</v>
      </c>
      <c r="N109" s="1271" t="s">
        <v>992</v>
      </c>
      <c r="O109" s="1248">
        <v>150000</v>
      </c>
      <c r="P109" s="260">
        <f>O109*M109</f>
        <v>4050000</v>
      </c>
      <c r="R109" s="139"/>
      <c r="S109" s="139"/>
      <c r="T109" s="139"/>
      <c r="U109" s="140"/>
    </row>
    <row r="110" spans="2:21" ht="12.95" customHeight="1" x14ac:dyDescent="0.2">
      <c r="B110" s="80"/>
      <c r="C110" s="33"/>
      <c r="D110" s="33"/>
      <c r="E110" s="67"/>
      <c r="F110" s="60"/>
      <c r="G110" s="1079"/>
      <c r="H110" s="1079"/>
      <c r="I110" s="1079"/>
      <c r="J110" s="1079"/>
      <c r="K110" s="33"/>
      <c r="L110" s="626" t="s">
        <v>346</v>
      </c>
      <c r="M110" s="1483">
        <v>3</v>
      </c>
      <c r="N110" s="1271" t="s">
        <v>992</v>
      </c>
      <c r="O110" s="1248">
        <v>150000</v>
      </c>
      <c r="P110" s="260">
        <f>O110*M110</f>
        <v>450000</v>
      </c>
      <c r="R110" s="139"/>
      <c r="S110" s="139"/>
      <c r="T110" s="139"/>
      <c r="U110" s="140"/>
    </row>
    <row r="111" spans="2:21" ht="12.95" customHeight="1" x14ac:dyDescent="0.2">
      <c r="B111" s="80"/>
      <c r="C111" s="33"/>
      <c r="D111" s="33"/>
      <c r="E111" s="67"/>
      <c r="F111" s="60"/>
      <c r="G111" s="1079"/>
      <c r="H111" s="1079"/>
      <c r="I111" s="1079"/>
      <c r="J111" s="1079"/>
      <c r="K111" s="33"/>
      <c r="L111" s="626" t="s">
        <v>347</v>
      </c>
      <c r="M111" s="1483">
        <v>7</v>
      </c>
      <c r="N111" s="1271" t="s">
        <v>992</v>
      </c>
      <c r="O111" s="1248">
        <v>150000</v>
      </c>
      <c r="P111" s="260">
        <f>O111*M111</f>
        <v>1050000</v>
      </c>
      <c r="Q111" s="576"/>
      <c r="R111" s="139"/>
      <c r="S111" s="139"/>
      <c r="T111" s="139"/>
      <c r="U111" s="140"/>
    </row>
    <row r="112" spans="2:21" ht="12.95" customHeight="1" x14ac:dyDescent="0.2">
      <c r="B112" s="84"/>
      <c r="C112" s="69"/>
      <c r="D112" s="69"/>
      <c r="E112" s="70"/>
      <c r="F112" s="1655"/>
      <c r="G112" s="39"/>
      <c r="H112" s="39"/>
      <c r="I112" s="39"/>
      <c r="J112" s="39"/>
      <c r="K112" s="69"/>
      <c r="L112" s="626" t="s">
        <v>1180</v>
      </c>
      <c r="M112" s="1483">
        <v>9</v>
      </c>
      <c r="N112" s="1271" t="s">
        <v>992</v>
      </c>
      <c r="O112" s="1248">
        <v>150000</v>
      </c>
      <c r="P112" s="260">
        <f>O112*M112</f>
        <v>1350000</v>
      </c>
      <c r="Q112" s="576"/>
      <c r="R112" s="139"/>
      <c r="S112" s="139"/>
      <c r="T112" s="139"/>
      <c r="U112" s="140"/>
    </row>
    <row r="113" spans="2:21" ht="12.95" customHeight="1" x14ac:dyDescent="0.2">
      <c r="B113" s="203"/>
      <c r="C113" s="1721"/>
      <c r="D113" s="1721"/>
      <c r="E113" s="205"/>
      <c r="F113" s="205"/>
      <c r="G113" s="206"/>
      <c r="H113" s="206"/>
      <c r="I113" s="206"/>
      <c r="J113" s="206"/>
      <c r="K113" s="1721"/>
      <c r="L113" s="1722"/>
      <c r="M113" s="1723"/>
      <c r="N113" s="1724"/>
      <c r="O113" s="1725"/>
      <c r="P113" s="829"/>
      <c r="Q113" s="576"/>
      <c r="R113" s="139"/>
      <c r="S113" s="139"/>
      <c r="T113" s="139"/>
      <c r="U113" s="140"/>
    </row>
    <row r="114" spans="2:21" ht="12.95" customHeight="1" thickBot="1" x14ac:dyDescent="0.25">
      <c r="B114" s="2855" t="s">
        <v>39</v>
      </c>
      <c r="C114" s="2856"/>
      <c r="D114" s="2856"/>
      <c r="E114" s="2856"/>
      <c r="F114" s="2856"/>
      <c r="G114" s="2856"/>
      <c r="H114" s="2856"/>
      <c r="I114" s="2856"/>
      <c r="J114" s="2856"/>
      <c r="K114" s="2856"/>
      <c r="L114" s="2856"/>
      <c r="M114" s="2856"/>
      <c r="N114" s="2856"/>
      <c r="O114" s="2857"/>
      <c r="P114" s="273">
        <f>P31</f>
        <v>47211380</v>
      </c>
      <c r="R114" s="484"/>
      <c r="T114" s="130"/>
    </row>
    <row r="115" spans="2:21" ht="12.95" customHeight="1" thickTop="1" x14ac:dyDescent="0.2">
      <c r="B115" s="1214"/>
      <c r="C115" s="1215"/>
      <c r="D115" s="1215"/>
      <c r="E115" s="1215"/>
      <c r="F115" s="1215"/>
      <c r="G115" s="1215"/>
      <c r="H115" s="1215"/>
      <c r="I115" s="1215"/>
      <c r="J115" s="1215"/>
      <c r="K115" s="1215"/>
      <c r="L115" s="1215"/>
      <c r="M115" s="1215"/>
      <c r="N115" s="1215"/>
      <c r="O115" s="1215"/>
      <c r="P115" s="1216"/>
      <c r="R115" s="484"/>
      <c r="T115" s="130"/>
    </row>
    <row r="116" spans="2:21" ht="12.95" customHeight="1" x14ac:dyDescent="0.2">
      <c r="B116" s="86"/>
      <c r="C116" s="19"/>
      <c r="D116" s="19"/>
      <c r="E116" s="19"/>
      <c r="F116" s="19"/>
      <c r="G116" s="19"/>
      <c r="H116" s="19"/>
      <c r="I116" s="19"/>
      <c r="J116" s="19"/>
      <c r="K116" s="19"/>
      <c r="L116" s="190"/>
      <c r="M116" s="2506" t="str">
        <f>'RECAP APBD'!E43</f>
        <v>Banda Aceh,                   2020</v>
      </c>
      <c r="N116" s="2506"/>
      <c r="O116" s="2506"/>
      <c r="P116" s="2507"/>
      <c r="R116" s="139"/>
    </row>
    <row r="117" spans="2:21" ht="12.95" customHeight="1" x14ac:dyDescent="0.2">
      <c r="B117" s="86"/>
      <c r="C117" s="19"/>
      <c r="D117" s="19"/>
      <c r="E117" s="19"/>
      <c r="F117" s="19"/>
      <c r="G117" s="19"/>
      <c r="H117" s="19"/>
      <c r="I117" s="19"/>
      <c r="J117" s="19"/>
      <c r="K117" s="19"/>
      <c r="L117" s="289"/>
      <c r="M117" s="2449" t="str">
        <f>'RECAP APBD'!E44</f>
        <v>Pengguna Anggaran</v>
      </c>
      <c r="N117" s="2449"/>
      <c r="O117" s="2449"/>
      <c r="P117" s="2600"/>
    </row>
    <row r="118" spans="2:21" ht="12.95" customHeight="1" x14ac:dyDescent="0.2">
      <c r="B118" s="86"/>
      <c r="C118" s="19"/>
      <c r="D118" s="19"/>
      <c r="E118" s="19"/>
      <c r="F118" s="19"/>
      <c r="G118" s="19"/>
      <c r="H118" s="19"/>
      <c r="I118" s="19"/>
      <c r="J118" s="19"/>
      <c r="K118" s="19"/>
      <c r="L118" s="289"/>
      <c r="M118" s="2449" t="str">
        <f>'RECAP APBD'!E45</f>
        <v>Satuan Kerja Perangkat Daerah</v>
      </c>
      <c r="N118" s="2449"/>
      <c r="O118" s="2449"/>
      <c r="P118" s="2600"/>
    </row>
    <row r="119" spans="2:21" ht="12.95" customHeight="1" x14ac:dyDescent="0.2">
      <c r="B119" s="86"/>
      <c r="C119" s="19"/>
      <c r="D119" s="19"/>
      <c r="E119" s="19"/>
      <c r="F119" s="19"/>
      <c r="G119" s="19"/>
      <c r="H119" s="19"/>
      <c r="I119" s="19"/>
      <c r="J119" s="19"/>
      <c r="K119" s="19"/>
      <c r="L119" s="291"/>
      <c r="M119" s="1707"/>
      <c r="N119" s="2782"/>
      <c r="O119" s="2782"/>
      <c r="P119" s="2783"/>
    </row>
    <row r="120" spans="2:21" ht="12.95" customHeight="1" x14ac:dyDescent="0.2">
      <c r="B120" s="86"/>
      <c r="C120" s="19"/>
      <c r="D120" s="19"/>
      <c r="E120" s="19"/>
      <c r="F120" s="19"/>
      <c r="G120" s="19"/>
      <c r="H120" s="19"/>
      <c r="I120" s="19"/>
      <c r="J120" s="19"/>
      <c r="K120" s="19"/>
      <c r="L120" s="174"/>
      <c r="M120" s="1707"/>
      <c r="N120" s="2782"/>
      <c r="O120" s="2782"/>
      <c r="P120" s="2783"/>
      <c r="Q120" s="132"/>
    </row>
    <row r="121" spans="2:21" ht="12.95" customHeight="1" x14ac:dyDescent="0.25">
      <c r="B121" s="86"/>
      <c r="C121" s="19"/>
      <c r="D121" s="19"/>
      <c r="E121" s="19"/>
      <c r="F121" s="19"/>
      <c r="G121" s="19"/>
      <c r="H121" s="19"/>
      <c r="I121" s="19"/>
      <c r="J121" s="19"/>
      <c r="K121" s="19"/>
      <c r="L121" s="175"/>
      <c r="M121" s="2449" t="str">
        <f>'RECAP APBD'!E48</f>
        <v>Bustami, SH</v>
      </c>
      <c r="N121" s="2449"/>
      <c r="O121" s="2449"/>
      <c r="P121" s="2600"/>
      <c r="Q121" s="133"/>
    </row>
    <row r="122" spans="2:21" ht="12.95" customHeight="1" x14ac:dyDescent="0.2">
      <c r="B122" s="87"/>
      <c r="C122" s="27"/>
      <c r="D122" s="27"/>
      <c r="E122" s="27"/>
      <c r="F122" s="27"/>
      <c r="G122" s="27"/>
      <c r="H122" s="27"/>
      <c r="I122" s="27"/>
      <c r="J122" s="27"/>
      <c r="K122" s="27"/>
      <c r="L122" s="27"/>
      <c r="M122" s="2790" t="str">
        <f>'RECAP APBD'!E49</f>
        <v>Pembina Utama Muda / Nip. 19630824 198703 1 004</v>
      </c>
      <c r="N122" s="2790"/>
      <c r="O122" s="2790"/>
      <c r="P122" s="2791"/>
      <c r="Q122" s="124"/>
      <c r="S122" s="142"/>
    </row>
    <row r="123" spans="2:21" ht="12.95" customHeight="1" x14ac:dyDescent="0.2">
      <c r="B123" s="2501" t="s">
        <v>140</v>
      </c>
      <c r="C123" s="2502"/>
      <c r="D123" s="2502"/>
      <c r="E123" s="2502"/>
      <c r="F123" s="2502"/>
      <c r="G123" s="2502"/>
      <c r="H123" s="2502"/>
      <c r="I123" s="2502"/>
      <c r="J123" s="2502"/>
      <c r="K123" s="2502"/>
      <c r="L123" s="2502"/>
      <c r="M123" s="2513"/>
      <c r="N123" s="2513"/>
      <c r="O123" s="2513"/>
      <c r="P123" s="2514"/>
    </row>
    <row r="124" spans="2:21" ht="12.95" customHeight="1" x14ac:dyDescent="0.2">
      <c r="B124" s="2501" t="s">
        <v>22</v>
      </c>
      <c r="C124" s="2502"/>
      <c r="D124" s="2502"/>
      <c r="E124" s="2502"/>
      <c r="F124" s="2502"/>
      <c r="G124" s="2502"/>
      <c r="H124" s="2502"/>
      <c r="I124" s="2502"/>
      <c r="J124" s="2502"/>
      <c r="K124" s="2502"/>
      <c r="L124" s="2502"/>
      <c r="M124" s="251"/>
      <c r="N124" s="2508"/>
      <c r="O124" s="2508"/>
      <c r="P124" s="2509"/>
    </row>
    <row r="125" spans="2:21" ht="12.95" customHeight="1" x14ac:dyDescent="0.2">
      <c r="B125" s="2501" t="s">
        <v>21</v>
      </c>
      <c r="C125" s="2502"/>
      <c r="D125" s="2502"/>
      <c r="E125" s="2502"/>
      <c r="F125" s="2502"/>
      <c r="G125" s="2502"/>
      <c r="H125" s="2502"/>
      <c r="I125" s="2502"/>
      <c r="J125" s="2502"/>
      <c r="K125" s="2502"/>
      <c r="L125" s="2502"/>
      <c r="M125" s="251"/>
      <c r="N125" s="2503"/>
      <c r="O125" s="2503"/>
      <c r="P125" s="2504"/>
    </row>
    <row r="126" spans="2:21" ht="12.95" customHeight="1" x14ac:dyDescent="0.2">
      <c r="B126" s="2501" t="s">
        <v>204</v>
      </c>
      <c r="C126" s="2502"/>
      <c r="D126" s="2502"/>
      <c r="E126" s="2502"/>
      <c r="F126" s="2502"/>
      <c r="G126" s="2502"/>
      <c r="H126" s="2502"/>
      <c r="I126" s="2502"/>
      <c r="J126" s="2502"/>
      <c r="K126" s="2502"/>
      <c r="L126" s="2502"/>
      <c r="M126" s="2502"/>
      <c r="N126" s="2502"/>
      <c r="O126" s="2502"/>
      <c r="P126" s="2505"/>
    </row>
    <row r="127" spans="2:21" ht="12.95" customHeight="1" x14ac:dyDescent="0.2">
      <c r="B127" s="2501" t="s">
        <v>205</v>
      </c>
      <c r="C127" s="2502"/>
      <c r="D127" s="2502"/>
      <c r="E127" s="2502"/>
      <c r="F127" s="2502"/>
      <c r="G127" s="2502"/>
      <c r="H127" s="2502"/>
      <c r="I127" s="2502"/>
      <c r="J127" s="2502"/>
      <c r="K127" s="2502"/>
      <c r="L127" s="2502"/>
      <c r="M127" s="2502"/>
      <c r="N127" s="2502"/>
      <c r="O127" s="2502"/>
      <c r="P127" s="2505"/>
    </row>
    <row r="128" spans="2:21" ht="12.95" customHeight="1" thickBot="1" x14ac:dyDescent="0.25">
      <c r="B128" s="2517" t="s">
        <v>206</v>
      </c>
      <c r="C128" s="2518"/>
      <c r="D128" s="2518"/>
      <c r="E128" s="2518"/>
      <c r="F128" s="2518"/>
      <c r="G128" s="2518"/>
      <c r="H128" s="2518"/>
      <c r="I128" s="2518"/>
      <c r="J128" s="2518"/>
      <c r="K128" s="2518"/>
      <c r="L128" s="2518"/>
      <c r="M128" s="2518"/>
      <c r="N128" s="2518"/>
      <c r="O128" s="2518"/>
      <c r="P128" s="2519"/>
    </row>
    <row r="129" spans="2:20" ht="12.95" customHeight="1" thickTop="1" x14ac:dyDescent="0.2">
      <c r="B129" s="2523" t="s">
        <v>25</v>
      </c>
      <c r="C129" s="2524"/>
      <c r="D129" s="2524"/>
      <c r="E129" s="2524"/>
      <c r="F129" s="2524"/>
      <c r="G129" s="2524"/>
      <c r="H129" s="2524"/>
      <c r="I129" s="2524"/>
      <c r="J129" s="2524"/>
      <c r="K129" s="2524"/>
      <c r="L129" s="2524"/>
      <c r="M129" s="2524"/>
      <c r="N129" s="2524"/>
      <c r="O129" s="2524"/>
      <c r="P129" s="2525"/>
    </row>
    <row r="130" spans="2:20" ht="12.95" customHeight="1" thickBot="1" x14ac:dyDescent="0.25">
      <c r="B130" s="2526" t="s">
        <v>207</v>
      </c>
      <c r="C130" s="2527"/>
      <c r="D130" s="2528" t="s">
        <v>208</v>
      </c>
      <c r="E130" s="2529"/>
      <c r="F130" s="2529"/>
      <c r="G130" s="2529"/>
      <c r="H130" s="2529"/>
      <c r="I130" s="2529"/>
      <c r="J130" s="2529"/>
      <c r="K130" s="2529"/>
      <c r="L130" s="2530"/>
      <c r="M130" s="2531" t="s">
        <v>209</v>
      </c>
      <c r="N130" s="2530"/>
      <c r="O130" s="4" t="s">
        <v>210</v>
      </c>
      <c r="P130" s="92" t="s">
        <v>211</v>
      </c>
    </row>
    <row r="131" spans="2:20" ht="12.95" customHeight="1" thickTop="1" x14ac:dyDescent="0.2">
      <c r="B131" s="2535">
        <v>1</v>
      </c>
      <c r="C131" s="2536"/>
      <c r="D131" s="2532"/>
      <c r="E131" s="2533"/>
      <c r="F131" s="2533"/>
      <c r="G131" s="2533"/>
      <c r="H131" s="2533"/>
      <c r="I131" s="2533"/>
      <c r="J131" s="2533"/>
      <c r="K131" s="2533"/>
      <c r="L131" s="2534"/>
      <c r="M131" s="2538"/>
      <c r="N131" s="2539"/>
      <c r="O131" s="1073"/>
      <c r="P131" s="1177" t="s">
        <v>10</v>
      </c>
      <c r="Q131" s="252"/>
      <c r="R131" s="253"/>
      <c r="S131" s="106"/>
      <c r="T131" s="125"/>
    </row>
    <row r="132" spans="2:20" ht="12.95" customHeight="1" x14ac:dyDescent="0.2">
      <c r="B132" s="2522">
        <v>2</v>
      </c>
      <c r="C132" s="2745"/>
      <c r="D132" s="1116"/>
      <c r="E132" s="1117"/>
      <c r="F132" s="1117"/>
      <c r="G132" s="1117"/>
      <c r="H132" s="1117"/>
      <c r="I132" s="1117"/>
      <c r="J132" s="1117"/>
      <c r="K132" s="1117"/>
      <c r="L132" s="1118"/>
      <c r="M132" s="2746"/>
      <c r="N132" s="2747"/>
      <c r="O132" s="1085"/>
      <c r="P132" s="1177" t="s">
        <v>11</v>
      </c>
      <c r="Q132" s="252"/>
      <c r="R132" s="253"/>
      <c r="S132" s="501"/>
      <c r="T132" s="125"/>
    </row>
    <row r="133" spans="2:20" ht="12.95" customHeight="1" x14ac:dyDescent="0.2">
      <c r="B133" s="2522">
        <v>3</v>
      </c>
      <c r="C133" s="2745"/>
      <c r="D133" s="1116"/>
      <c r="E133" s="1117"/>
      <c r="F133" s="1117"/>
      <c r="G133" s="1117"/>
      <c r="H133" s="1117"/>
      <c r="I133" s="1117"/>
      <c r="J133" s="1117"/>
      <c r="K133" s="1117"/>
      <c r="L133" s="1118"/>
      <c r="M133" s="2746"/>
      <c r="N133" s="2747"/>
      <c r="O133" s="1085"/>
      <c r="P133" s="1177" t="s">
        <v>12</v>
      </c>
      <c r="Q133" s="252"/>
      <c r="R133" s="253"/>
      <c r="S133" s="501"/>
      <c r="T133" s="125"/>
    </row>
    <row r="134" spans="2:20" ht="12.95" customHeight="1" x14ac:dyDescent="0.2">
      <c r="B134" s="2522">
        <v>4</v>
      </c>
      <c r="C134" s="2745"/>
      <c r="D134" s="1116"/>
      <c r="E134" s="1117"/>
      <c r="F134" s="1117"/>
      <c r="G134" s="1117"/>
      <c r="H134" s="1117"/>
      <c r="I134" s="1117"/>
      <c r="J134" s="1117"/>
      <c r="K134" s="1117"/>
      <c r="L134" s="1118"/>
      <c r="M134" s="2748"/>
      <c r="N134" s="2749"/>
      <c r="O134" s="1085"/>
      <c r="P134" s="1177" t="s">
        <v>13</v>
      </c>
      <c r="Q134" s="254"/>
      <c r="R134" s="255"/>
      <c r="S134" s="501"/>
      <c r="T134" s="125"/>
    </row>
    <row r="135" spans="2:20" ht="12.95" customHeight="1" x14ac:dyDescent="0.2">
      <c r="B135" s="2522">
        <v>5</v>
      </c>
      <c r="C135" s="2745"/>
      <c r="D135" s="1116"/>
      <c r="E135" s="1117"/>
      <c r="F135" s="1117"/>
      <c r="G135" s="1117"/>
      <c r="H135" s="1117"/>
      <c r="I135" s="1117"/>
      <c r="J135" s="1117"/>
      <c r="K135" s="1117"/>
      <c r="L135" s="1118"/>
      <c r="M135" s="2748"/>
      <c r="N135" s="2749"/>
      <c r="O135" s="1085"/>
      <c r="P135" s="1177" t="s">
        <v>14</v>
      </c>
      <c r="Q135" s="254"/>
      <c r="R135" s="255"/>
      <c r="S135" s="501"/>
      <c r="T135" s="125"/>
    </row>
    <row r="136" spans="2:20" ht="12.95" customHeight="1" x14ac:dyDescent="0.2">
      <c r="B136" s="2522">
        <v>6</v>
      </c>
      <c r="C136" s="2745"/>
      <c r="D136" s="1116"/>
      <c r="E136" s="1117"/>
      <c r="F136" s="1117"/>
      <c r="G136" s="1117"/>
      <c r="H136" s="1117"/>
      <c r="I136" s="1117"/>
      <c r="J136" s="1117"/>
      <c r="K136" s="1117"/>
      <c r="L136" s="1118"/>
      <c r="M136" s="2748"/>
      <c r="N136" s="2749"/>
      <c r="O136" s="1085"/>
      <c r="P136" s="1178" t="s">
        <v>42</v>
      </c>
      <c r="Q136" s="254"/>
      <c r="R136" s="255"/>
      <c r="S136" s="501"/>
      <c r="T136" s="256"/>
    </row>
    <row r="137" spans="2:20" ht="12.95" customHeight="1" thickBot="1" x14ac:dyDescent="0.25">
      <c r="B137" s="2520">
        <v>7</v>
      </c>
      <c r="C137" s="2521"/>
      <c r="D137" s="1119"/>
      <c r="E137" s="1120"/>
      <c r="F137" s="1120"/>
      <c r="G137" s="1120"/>
      <c r="H137" s="1120"/>
      <c r="I137" s="1120"/>
      <c r="J137" s="1120"/>
      <c r="K137" s="1120"/>
      <c r="L137" s="1121"/>
      <c r="M137" s="2537"/>
      <c r="N137" s="2300"/>
      <c r="O137" s="1706"/>
      <c r="P137" s="1179" t="s">
        <v>487</v>
      </c>
      <c r="Q137" s="254"/>
      <c r="R137" s="255"/>
      <c r="S137" s="501"/>
      <c r="T137" s="256"/>
    </row>
    <row r="138" spans="2:20" ht="13.5" thickTop="1" x14ac:dyDescent="0.2">
      <c r="B138" s="500"/>
      <c r="C138" s="500"/>
      <c r="D138" s="500"/>
      <c r="E138" s="500"/>
      <c r="F138" s="500"/>
      <c r="G138" s="500"/>
      <c r="H138" s="500"/>
      <c r="I138" s="500"/>
      <c r="J138" s="500"/>
      <c r="K138" s="500"/>
      <c r="L138" s="500"/>
      <c r="M138" s="500"/>
      <c r="N138" s="500"/>
      <c r="O138" s="500"/>
      <c r="P138" s="500"/>
    </row>
    <row r="139" spans="2:20" x14ac:dyDescent="0.2">
      <c r="B139" s="500"/>
      <c r="C139" s="500"/>
      <c r="D139" s="500"/>
      <c r="E139" s="500"/>
      <c r="F139" s="500"/>
      <c r="G139" s="500"/>
      <c r="H139" s="500"/>
      <c r="I139" s="500"/>
      <c r="J139" s="500"/>
      <c r="K139" s="500"/>
      <c r="L139" s="500"/>
      <c r="M139" s="500"/>
      <c r="N139" s="500"/>
      <c r="O139" s="500"/>
      <c r="P139" s="500"/>
    </row>
    <row r="140" spans="2:20" x14ac:dyDescent="0.2">
      <c r="B140" s="500"/>
      <c r="C140" s="500"/>
      <c r="D140" s="500"/>
      <c r="E140" s="500"/>
      <c r="F140" s="500"/>
      <c r="G140" s="500"/>
      <c r="H140" s="500"/>
      <c r="I140" s="500"/>
      <c r="J140" s="500"/>
      <c r="K140" s="500"/>
      <c r="L140" s="500"/>
      <c r="M140" s="500"/>
      <c r="N140" s="500"/>
      <c r="O140" s="500"/>
      <c r="P140" s="500"/>
    </row>
    <row r="141" spans="2:20" x14ac:dyDescent="0.2">
      <c r="B141" s="500"/>
      <c r="C141" s="500"/>
      <c r="D141" s="500"/>
      <c r="E141" s="500"/>
      <c r="F141" s="500"/>
      <c r="G141" s="500"/>
      <c r="H141" s="500"/>
      <c r="I141" s="500"/>
      <c r="J141" s="500"/>
      <c r="K141" s="500"/>
      <c r="L141" s="500"/>
      <c r="M141" s="500"/>
      <c r="N141" s="500"/>
      <c r="O141" s="500"/>
      <c r="P141" s="500"/>
    </row>
    <row r="142" spans="2:20" x14ac:dyDescent="0.2">
      <c r="B142" s="500"/>
      <c r="C142" s="500"/>
      <c r="D142" s="500"/>
      <c r="E142" s="500"/>
      <c r="F142" s="500"/>
      <c r="G142" s="500"/>
      <c r="H142" s="500"/>
      <c r="I142" s="500"/>
      <c r="J142" s="500"/>
      <c r="K142" s="500"/>
      <c r="L142" s="500"/>
      <c r="M142" s="500"/>
      <c r="N142" s="500"/>
      <c r="O142" s="500"/>
      <c r="P142" s="500"/>
    </row>
    <row r="143" spans="2:20" x14ac:dyDescent="0.2">
      <c r="B143" s="500"/>
      <c r="C143" s="500"/>
      <c r="D143" s="500"/>
      <c r="E143" s="500"/>
      <c r="F143" s="500"/>
      <c r="G143" s="500"/>
      <c r="H143" s="500"/>
      <c r="I143" s="500"/>
      <c r="J143" s="500"/>
      <c r="K143" s="500"/>
      <c r="L143" s="500"/>
      <c r="M143" s="500"/>
      <c r="N143" s="500"/>
      <c r="O143" s="500"/>
      <c r="P143" s="500"/>
    </row>
    <row r="144" spans="2:20" x14ac:dyDescent="0.2">
      <c r="B144" s="500"/>
      <c r="C144" s="500"/>
      <c r="D144" s="500"/>
      <c r="E144" s="500"/>
      <c r="F144" s="500"/>
      <c r="G144" s="500"/>
      <c r="H144" s="500"/>
      <c r="I144" s="500"/>
      <c r="J144" s="500"/>
      <c r="K144" s="500"/>
      <c r="L144" s="500"/>
      <c r="M144" s="500"/>
      <c r="N144" s="500"/>
      <c r="O144" s="500"/>
      <c r="P144" s="500"/>
    </row>
    <row r="145" spans="2:16" x14ac:dyDescent="0.2">
      <c r="B145" s="500"/>
      <c r="C145" s="500"/>
      <c r="D145" s="500"/>
      <c r="E145" s="500"/>
      <c r="F145" s="500"/>
      <c r="G145" s="500"/>
      <c r="H145" s="500"/>
      <c r="I145" s="500"/>
      <c r="J145" s="500"/>
      <c r="K145" s="500"/>
      <c r="L145" s="500"/>
      <c r="M145" s="500"/>
      <c r="N145" s="500"/>
      <c r="O145" s="500"/>
      <c r="P145" s="500"/>
    </row>
    <row r="146" spans="2:16" x14ac:dyDescent="0.2">
      <c r="B146" s="500"/>
      <c r="C146" s="500"/>
      <c r="D146" s="500"/>
      <c r="E146" s="500"/>
      <c r="F146" s="500"/>
      <c r="G146" s="500"/>
      <c r="H146" s="500"/>
      <c r="I146" s="500"/>
      <c r="J146" s="500"/>
      <c r="K146" s="500"/>
      <c r="L146" s="500"/>
      <c r="M146" s="500"/>
      <c r="N146" s="500"/>
      <c r="O146" s="500"/>
      <c r="P146" s="500"/>
    </row>
    <row r="147" spans="2:16" x14ac:dyDescent="0.2">
      <c r="B147" s="500"/>
      <c r="C147" s="500"/>
      <c r="D147" s="500"/>
      <c r="E147" s="500"/>
      <c r="F147" s="500"/>
      <c r="G147" s="500"/>
      <c r="H147" s="500"/>
      <c r="I147" s="500"/>
      <c r="J147" s="500"/>
      <c r="K147" s="500"/>
      <c r="L147" s="500"/>
      <c r="M147" s="500"/>
      <c r="N147" s="500"/>
      <c r="O147" s="500"/>
      <c r="P147" s="500"/>
    </row>
    <row r="148" spans="2:16" x14ac:dyDescent="0.2">
      <c r="B148" s="500"/>
      <c r="C148" s="500"/>
      <c r="D148" s="500"/>
      <c r="E148" s="500"/>
      <c r="F148" s="500"/>
      <c r="G148" s="500"/>
      <c r="H148" s="500"/>
      <c r="I148" s="500"/>
      <c r="J148" s="500"/>
      <c r="K148" s="500"/>
      <c r="L148" s="500"/>
      <c r="M148" s="500"/>
      <c r="N148" s="500"/>
      <c r="O148" s="500"/>
      <c r="P148" s="500"/>
    </row>
    <row r="149" spans="2:16" x14ac:dyDescent="0.2">
      <c r="B149" s="500"/>
      <c r="C149" s="500"/>
      <c r="D149" s="500"/>
      <c r="E149" s="500"/>
      <c r="F149" s="500"/>
      <c r="G149" s="500"/>
      <c r="H149" s="500"/>
      <c r="I149" s="500"/>
      <c r="J149" s="500"/>
      <c r="K149" s="500"/>
      <c r="L149" s="500"/>
      <c r="M149" s="500"/>
      <c r="N149" s="500"/>
      <c r="O149" s="500"/>
      <c r="P149" s="500"/>
    </row>
    <row r="150" spans="2:16" x14ac:dyDescent="0.2">
      <c r="B150" s="500"/>
      <c r="C150" s="500"/>
      <c r="D150" s="500"/>
      <c r="E150" s="500"/>
      <c r="F150" s="500"/>
      <c r="G150" s="500"/>
      <c r="H150" s="500"/>
      <c r="I150" s="500"/>
      <c r="J150" s="500"/>
      <c r="K150" s="500"/>
      <c r="L150" s="500"/>
      <c r="M150" s="500"/>
      <c r="N150" s="500"/>
      <c r="O150" s="500"/>
      <c r="P150" s="500"/>
    </row>
    <row r="151" spans="2:16" x14ac:dyDescent="0.2">
      <c r="B151" s="500"/>
      <c r="C151" s="500"/>
      <c r="D151" s="500"/>
      <c r="E151" s="500"/>
      <c r="F151" s="500"/>
      <c r="G151" s="500"/>
      <c r="H151" s="500"/>
      <c r="I151" s="500"/>
      <c r="J151" s="500"/>
      <c r="K151" s="500"/>
      <c r="L151" s="500"/>
      <c r="M151" s="500"/>
      <c r="N151" s="500"/>
      <c r="O151" s="500"/>
      <c r="P151" s="500"/>
    </row>
    <row r="152" spans="2:16" x14ac:dyDescent="0.2">
      <c r="B152" s="500"/>
      <c r="C152" s="500"/>
      <c r="D152" s="500"/>
      <c r="E152" s="500"/>
      <c r="F152" s="500"/>
      <c r="G152" s="500"/>
      <c r="H152" s="500"/>
      <c r="I152" s="500"/>
      <c r="J152" s="500"/>
      <c r="K152" s="500"/>
      <c r="L152" s="500"/>
      <c r="M152" s="500"/>
      <c r="N152" s="500"/>
      <c r="O152" s="500"/>
      <c r="P152" s="500"/>
    </row>
    <row r="153" spans="2:16" x14ac:dyDescent="0.2">
      <c r="B153" s="500"/>
      <c r="C153" s="500"/>
      <c r="D153" s="500"/>
      <c r="E153" s="500"/>
      <c r="F153" s="500"/>
      <c r="G153" s="500"/>
      <c r="H153" s="500"/>
      <c r="I153" s="500"/>
      <c r="J153" s="500"/>
      <c r="K153" s="500"/>
      <c r="L153" s="500"/>
      <c r="M153" s="500"/>
      <c r="N153" s="500"/>
      <c r="O153" s="500"/>
      <c r="P153" s="500"/>
    </row>
    <row r="154" spans="2:16" x14ac:dyDescent="0.2">
      <c r="B154" s="500"/>
      <c r="C154" s="500"/>
      <c r="D154" s="500"/>
      <c r="E154" s="500"/>
      <c r="F154" s="500"/>
      <c r="G154" s="500"/>
      <c r="H154" s="500"/>
      <c r="I154" s="500"/>
      <c r="J154" s="500"/>
      <c r="K154" s="500"/>
      <c r="L154" s="500"/>
      <c r="M154" s="500"/>
      <c r="N154" s="500"/>
      <c r="O154" s="500"/>
      <c r="P154" s="500"/>
    </row>
  </sheetData>
  <mergeCells count="85">
    <mergeCell ref="M9:P9"/>
    <mergeCell ref="O25:O27"/>
    <mergeCell ref="B25:K25"/>
    <mergeCell ref="B26:K26"/>
    <mergeCell ref="B27:K27"/>
    <mergeCell ref="M25:M27"/>
    <mergeCell ref="N25:N27"/>
    <mergeCell ref="B18:K18"/>
    <mergeCell ref="L18:N18"/>
    <mergeCell ref="O18:P18"/>
    <mergeCell ref="B19:K19"/>
    <mergeCell ref="L19:N19"/>
    <mergeCell ref="O19:P19"/>
    <mergeCell ref="B9:K9"/>
    <mergeCell ref="B17:K17"/>
    <mergeCell ref="L17:N17"/>
    <mergeCell ref="O17:P17"/>
    <mergeCell ref="B11:K11"/>
    <mergeCell ref="B12:K12"/>
    <mergeCell ref="B13:K13"/>
    <mergeCell ref="B16:K16"/>
    <mergeCell ref="L16:N16"/>
    <mergeCell ref="O16:P16"/>
    <mergeCell ref="B10:K10"/>
    <mergeCell ref="L10:P10"/>
    <mergeCell ref="B14:P14"/>
    <mergeCell ref="B15:K15"/>
    <mergeCell ref="L15:N15"/>
    <mergeCell ref="O15:P15"/>
    <mergeCell ref="B6:K6"/>
    <mergeCell ref="M6:P6"/>
    <mergeCell ref="B7:K7"/>
    <mergeCell ref="M7:P7"/>
    <mergeCell ref="B8:K8"/>
    <mergeCell ref="M8:P8"/>
    <mergeCell ref="P2:P3"/>
    <mergeCell ref="B4:O4"/>
    <mergeCell ref="P4:P5"/>
    <mergeCell ref="B5:O5"/>
    <mergeCell ref="F2:O2"/>
    <mergeCell ref="F3:O3"/>
    <mergeCell ref="M137:N137"/>
    <mergeCell ref="M136:N136"/>
    <mergeCell ref="B125:L125"/>
    <mergeCell ref="N125:P125"/>
    <mergeCell ref="B127:P127"/>
    <mergeCell ref="B128:P128"/>
    <mergeCell ref="B129:P129"/>
    <mergeCell ref="B132:C132"/>
    <mergeCell ref="B133:C133"/>
    <mergeCell ref="B134:C134"/>
    <mergeCell ref="B135:C135"/>
    <mergeCell ref="B136:C136"/>
    <mergeCell ref="B137:C137"/>
    <mergeCell ref="M134:N134"/>
    <mergeCell ref="M135:N135"/>
    <mergeCell ref="M131:N131"/>
    <mergeCell ref="M132:N132"/>
    <mergeCell ref="M133:N133"/>
    <mergeCell ref="B126:P126"/>
    <mergeCell ref="M130:N130"/>
    <mergeCell ref="M121:P121"/>
    <mergeCell ref="M122:P122"/>
    <mergeCell ref="B123:L123"/>
    <mergeCell ref="M123:P123"/>
    <mergeCell ref="B124:L124"/>
    <mergeCell ref="N124:P124"/>
    <mergeCell ref="B131:C131"/>
    <mergeCell ref="D131:L131"/>
    <mergeCell ref="B28:K28"/>
    <mergeCell ref="M117:P117"/>
    <mergeCell ref="B20:P20"/>
    <mergeCell ref="B130:C130"/>
    <mergeCell ref="D130:L130"/>
    <mergeCell ref="N119:P119"/>
    <mergeCell ref="N120:P120"/>
    <mergeCell ref="M118:P118"/>
    <mergeCell ref="B114:O114"/>
    <mergeCell ref="M116:P116"/>
    <mergeCell ref="B22:P22"/>
    <mergeCell ref="B23:P23"/>
    <mergeCell ref="B21:P21"/>
    <mergeCell ref="B24:K24"/>
    <mergeCell ref="L24:L27"/>
    <mergeCell ref="M24:O24"/>
  </mergeCells>
  <pageMargins left="0.5" right="0.26" top="0.5" bottom="0.95" header="0.3" footer="0.3"/>
  <pageSetup paperSize="5" scale="77" orientation="portrait" horizontalDpi="4294967293" verticalDpi="4294967293" r:id="rId1"/>
  <rowBreaks count="1" manualBreakCount="1">
    <brk id="69" min="1" max="1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B5:N46"/>
  <sheetViews>
    <sheetView view="pageBreakPreview" topLeftCell="A35" zoomScale="130" workbookViewId="0">
      <selection activeCell="D26" sqref="D26"/>
    </sheetView>
  </sheetViews>
  <sheetFormatPr defaultColWidth="9.140625" defaultRowHeight="12.75" x14ac:dyDescent="0.2"/>
  <cols>
    <col min="1" max="1" width="9.140625" style="836"/>
    <col min="2" max="2" width="15.42578125" style="836" customWidth="1"/>
    <col min="3" max="3" width="9.140625" style="983"/>
    <col min="4" max="5" width="9.140625" style="836"/>
    <col min="6" max="6" width="10.140625" style="836" customWidth="1"/>
    <col min="7" max="7" width="12" style="836" customWidth="1"/>
    <col min="8" max="8" width="12.85546875" style="836" customWidth="1"/>
    <col min="9" max="9" width="16.85546875" style="836" customWidth="1"/>
    <col min="10" max="16384" width="9.140625" style="836"/>
  </cols>
  <sheetData>
    <row r="5" spans="2:13" x14ac:dyDescent="0.2">
      <c r="M5" s="984"/>
    </row>
    <row r="6" spans="2:13" x14ac:dyDescent="0.2">
      <c r="M6" s="984"/>
    </row>
    <row r="8" spans="2:13" x14ac:dyDescent="0.2">
      <c r="B8" s="985" t="s">
        <v>58</v>
      </c>
      <c r="C8" s="985"/>
      <c r="D8" s="985"/>
      <c r="E8" s="985"/>
      <c r="F8" s="985"/>
      <c r="G8" s="985"/>
      <c r="H8" s="985"/>
      <c r="I8" s="985"/>
    </row>
    <row r="9" spans="2:13" x14ac:dyDescent="0.2">
      <c r="B9" s="985"/>
      <c r="C9" s="985"/>
      <c r="D9" s="985"/>
      <c r="E9" s="985"/>
      <c r="F9" s="985"/>
      <c r="G9" s="985"/>
      <c r="H9" s="985"/>
      <c r="I9" s="985"/>
    </row>
    <row r="11" spans="2:13" s="988" customFormat="1" ht="19.5" x14ac:dyDescent="0.2">
      <c r="B11" s="986" t="s">
        <v>212</v>
      </c>
      <c r="C11" s="987"/>
      <c r="D11" s="987"/>
      <c r="E11" s="987"/>
      <c r="F11" s="987"/>
      <c r="G11" s="987"/>
      <c r="H11" s="987"/>
      <c r="I11" s="987"/>
    </row>
    <row r="12" spans="2:13" s="988" customFormat="1" ht="19.5" x14ac:dyDescent="0.2">
      <c r="B12" s="986" t="s">
        <v>183</v>
      </c>
      <c r="C12" s="987"/>
      <c r="D12" s="987"/>
      <c r="E12" s="987"/>
      <c r="F12" s="987"/>
      <c r="G12" s="987"/>
      <c r="H12" s="987"/>
      <c r="I12" s="987"/>
    </row>
    <row r="13" spans="2:13" s="988" customFormat="1" ht="19.5" x14ac:dyDescent="0.2">
      <c r="B13" s="986" t="s">
        <v>59</v>
      </c>
      <c r="C13" s="987"/>
      <c r="D13" s="987"/>
      <c r="E13" s="987"/>
      <c r="F13" s="987"/>
      <c r="G13" s="987"/>
      <c r="H13" s="987"/>
      <c r="I13" s="987"/>
    </row>
    <row r="15" spans="2:13" x14ac:dyDescent="0.2">
      <c r="B15" s="985" t="s">
        <v>933</v>
      </c>
      <c r="C15" s="985"/>
      <c r="D15" s="985"/>
      <c r="E15" s="985"/>
      <c r="F15" s="985"/>
      <c r="G15" s="985"/>
      <c r="H15" s="985"/>
      <c r="I15" s="985"/>
    </row>
    <row r="16" spans="2:13" x14ac:dyDescent="0.2">
      <c r="B16" s="985"/>
      <c r="C16" s="985"/>
      <c r="D16" s="985"/>
      <c r="E16" s="985"/>
      <c r="F16" s="985"/>
      <c r="G16" s="985"/>
      <c r="H16" s="985"/>
      <c r="I16" s="985"/>
    </row>
    <row r="17" spans="2:14" x14ac:dyDescent="0.2">
      <c r="B17" s="985"/>
      <c r="C17" s="985"/>
      <c r="D17" s="985"/>
      <c r="E17" s="985"/>
      <c r="F17" s="985"/>
      <c r="G17" s="985"/>
      <c r="H17" s="985"/>
      <c r="I17" s="985"/>
    </row>
    <row r="18" spans="2:14" s="983" customFormat="1" x14ac:dyDescent="0.2">
      <c r="B18" s="989"/>
      <c r="C18" s="989" t="s">
        <v>60</v>
      </c>
      <c r="D18" s="989"/>
      <c r="E18" s="989"/>
      <c r="F18" s="989" t="s">
        <v>436</v>
      </c>
      <c r="G18" s="989" t="s">
        <v>437</v>
      </c>
      <c r="H18" s="989"/>
      <c r="I18" s="989"/>
    </row>
    <row r="19" spans="2:14" s="983" customFormat="1" ht="15" customHeight="1" x14ac:dyDescent="0.2">
      <c r="B19" s="989"/>
      <c r="C19" s="989" t="s">
        <v>61</v>
      </c>
      <c r="D19" s="989"/>
      <c r="E19" s="989"/>
      <c r="F19" s="989" t="s">
        <v>438</v>
      </c>
      <c r="G19" s="990" t="s">
        <v>466</v>
      </c>
      <c r="H19" s="991"/>
      <c r="I19" s="991"/>
      <c r="J19" s="318"/>
      <c r="K19" s="318"/>
      <c r="L19" s="318"/>
      <c r="M19" s="318"/>
      <c r="N19" s="318"/>
    </row>
    <row r="20" spans="2:14" s="983" customFormat="1" x14ac:dyDescent="0.2">
      <c r="B20" s="989"/>
      <c r="C20" s="989"/>
      <c r="D20" s="989"/>
      <c r="E20" s="989"/>
      <c r="F20" s="989"/>
      <c r="G20" s="989" t="s">
        <v>33</v>
      </c>
      <c r="H20" s="989"/>
      <c r="I20" s="989"/>
    </row>
    <row r="21" spans="2:14" s="983" customFormat="1" x14ac:dyDescent="0.2">
      <c r="B21" s="983" t="s">
        <v>62</v>
      </c>
      <c r="C21" s="989"/>
      <c r="D21" s="983" t="s">
        <v>185</v>
      </c>
      <c r="E21" s="989"/>
      <c r="F21" s="989"/>
      <c r="G21" s="989"/>
      <c r="H21" s="989"/>
      <c r="I21" s="989"/>
    </row>
    <row r="22" spans="2:14" s="983" customFormat="1" x14ac:dyDescent="0.2">
      <c r="B22" s="983" t="s">
        <v>63</v>
      </c>
      <c r="D22" s="836" t="s">
        <v>605</v>
      </c>
      <c r="E22" s="836"/>
      <c r="F22" s="836"/>
    </row>
    <row r="23" spans="2:14" s="983" customFormat="1" x14ac:dyDescent="0.2">
      <c r="B23" s="983" t="s">
        <v>64</v>
      </c>
      <c r="D23" s="983" t="s">
        <v>606</v>
      </c>
    </row>
    <row r="24" spans="2:14" s="983" customFormat="1" x14ac:dyDescent="0.2">
      <c r="B24" s="983" t="s">
        <v>65</v>
      </c>
      <c r="D24" s="983" t="s">
        <v>608</v>
      </c>
    </row>
    <row r="25" spans="2:14" ht="13.5" thickBot="1" x14ac:dyDescent="0.25"/>
    <row r="26" spans="2:14" s="995" customFormat="1" ht="25.5" customHeight="1" thickTop="1" thickBot="1" x14ac:dyDescent="0.25">
      <c r="B26" s="992" t="s">
        <v>43</v>
      </c>
      <c r="C26" s="993" t="s">
        <v>44</v>
      </c>
      <c r="D26" s="993"/>
      <c r="E26" s="993"/>
      <c r="F26" s="993"/>
      <c r="G26" s="993"/>
      <c r="H26" s="993"/>
      <c r="I26" s="994"/>
    </row>
    <row r="27" spans="2:14" ht="25.5" customHeight="1" thickTop="1" x14ac:dyDescent="0.2">
      <c r="B27" s="996" t="s">
        <v>31</v>
      </c>
      <c r="C27" s="997" t="s">
        <v>54</v>
      </c>
      <c r="D27" s="998"/>
      <c r="E27" s="998"/>
      <c r="F27" s="998"/>
      <c r="G27" s="998"/>
      <c r="H27" s="998"/>
      <c r="I27" s="999"/>
    </row>
    <row r="28" spans="2:14" ht="25.5" customHeight="1" x14ac:dyDescent="0.2">
      <c r="B28" s="1000" t="s">
        <v>45</v>
      </c>
      <c r="C28" s="1001" t="s">
        <v>196</v>
      </c>
      <c r="D28" s="1002"/>
      <c r="E28" s="1002"/>
      <c r="F28" s="1002"/>
      <c r="G28" s="1002"/>
      <c r="H28" s="1002"/>
      <c r="I28" s="1003"/>
    </row>
    <row r="29" spans="2:14" ht="25.5" customHeight="1" x14ac:dyDescent="0.2">
      <c r="B29" s="1000" t="s">
        <v>46</v>
      </c>
      <c r="C29" s="1001" t="s">
        <v>214</v>
      </c>
      <c r="D29" s="1002"/>
      <c r="E29" s="1002"/>
      <c r="F29" s="1002"/>
      <c r="G29" s="1002"/>
      <c r="H29" s="1002"/>
      <c r="I29" s="1003"/>
    </row>
    <row r="30" spans="2:14" ht="25.5" customHeight="1" x14ac:dyDescent="0.2">
      <c r="B30" s="996" t="s">
        <v>47</v>
      </c>
      <c r="C30" s="1004" t="s">
        <v>55</v>
      </c>
      <c r="D30" s="1005"/>
      <c r="E30" s="1005"/>
      <c r="F30" s="1005"/>
      <c r="G30" s="1005"/>
      <c r="H30" s="1005"/>
      <c r="I30" s="1006"/>
    </row>
    <row r="31" spans="2:14" ht="25.5" customHeight="1" x14ac:dyDescent="0.2">
      <c r="B31" s="1007"/>
      <c r="C31" s="1008" t="s">
        <v>51</v>
      </c>
      <c r="D31" s="1009"/>
      <c r="E31" s="1009"/>
      <c r="F31" s="1009"/>
      <c r="G31" s="1009"/>
      <c r="H31" s="1009"/>
      <c r="I31" s="1010"/>
    </row>
    <row r="32" spans="2:14" ht="25.5" customHeight="1" x14ac:dyDescent="0.2">
      <c r="B32" s="996" t="s">
        <v>48</v>
      </c>
      <c r="C32" s="1004" t="s">
        <v>56</v>
      </c>
      <c r="D32" s="1005"/>
      <c r="E32" s="1005"/>
      <c r="F32" s="1005"/>
      <c r="G32" s="1005"/>
      <c r="H32" s="1005"/>
      <c r="I32" s="1006"/>
    </row>
    <row r="33" spans="2:9" ht="25.5" customHeight="1" x14ac:dyDescent="0.2">
      <c r="B33" s="1007"/>
      <c r="C33" s="1008" t="s">
        <v>57</v>
      </c>
      <c r="D33" s="1009"/>
      <c r="E33" s="1009"/>
      <c r="F33" s="1009"/>
      <c r="G33" s="1009"/>
      <c r="H33" s="1009"/>
      <c r="I33" s="1010"/>
    </row>
    <row r="34" spans="2:9" ht="25.5" customHeight="1" x14ac:dyDescent="0.2">
      <c r="B34" s="1000" t="s">
        <v>49</v>
      </c>
      <c r="C34" s="1011" t="s">
        <v>52</v>
      </c>
      <c r="D34" s="1002"/>
      <c r="E34" s="1002"/>
      <c r="F34" s="1002"/>
      <c r="G34" s="1002"/>
      <c r="H34" s="1002"/>
      <c r="I34" s="1003"/>
    </row>
    <row r="35" spans="2:9" ht="25.5" customHeight="1" x14ac:dyDescent="0.2">
      <c r="B35" s="1012" t="s">
        <v>50</v>
      </c>
      <c r="C35" s="1013" t="s">
        <v>53</v>
      </c>
      <c r="D35" s="1005"/>
      <c r="E35" s="1005"/>
      <c r="F35" s="1005"/>
      <c r="G35" s="1005"/>
      <c r="H35" s="1005"/>
      <c r="I35" s="1006"/>
    </row>
    <row r="36" spans="2:9" ht="18" customHeight="1" x14ac:dyDescent="0.2">
      <c r="B36" s="2159" t="s">
        <v>69</v>
      </c>
      <c r="C36" s="2150" t="s">
        <v>77</v>
      </c>
      <c r="D36" s="2151"/>
      <c r="E36" s="2151"/>
      <c r="F36" s="2151"/>
      <c r="G36" s="2151"/>
      <c r="H36" s="2151"/>
      <c r="I36" s="2152"/>
    </row>
    <row r="37" spans="2:9" ht="18" customHeight="1" x14ac:dyDescent="0.2">
      <c r="B37" s="2160"/>
      <c r="C37" s="2153"/>
      <c r="D37" s="2154"/>
      <c r="E37" s="2154"/>
      <c r="F37" s="2154"/>
      <c r="G37" s="2154"/>
      <c r="H37" s="2154"/>
      <c r="I37" s="2155"/>
    </row>
    <row r="38" spans="2:9" ht="18" customHeight="1" x14ac:dyDescent="0.2">
      <c r="B38" s="2148" t="s">
        <v>70</v>
      </c>
      <c r="C38" s="2150" t="s">
        <v>73</v>
      </c>
      <c r="D38" s="2151"/>
      <c r="E38" s="2151"/>
      <c r="F38" s="2151"/>
      <c r="G38" s="2151"/>
      <c r="H38" s="2151"/>
      <c r="I38" s="2152"/>
    </row>
    <row r="39" spans="2:9" ht="18" customHeight="1" x14ac:dyDescent="0.2">
      <c r="B39" s="2148"/>
      <c r="C39" s="2153"/>
      <c r="D39" s="2154"/>
      <c r="E39" s="2154"/>
      <c r="F39" s="2154"/>
      <c r="G39" s="2154"/>
      <c r="H39" s="2154"/>
      <c r="I39" s="2155"/>
    </row>
    <row r="40" spans="2:9" ht="18" customHeight="1" x14ac:dyDescent="0.2">
      <c r="B40" s="2148" t="s">
        <v>72</v>
      </c>
      <c r="C40" s="2150" t="s">
        <v>75</v>
      </c>
      <c r="D40" s="2151"/>
      <c r="E40" s="2151"/>
      <c r="F40" s="2151"/>
      <c r="G40" s="2151"/>
      <c r="H40" s="2151"/>
      <c r="I40" s="2152"/>
    </row>
    <row r="41" spans="2:9" ht="18" customHeight="1" x14ac:dyDescent="0.2">
      <c r="B41" s="2148"/>
      <c r="C41" s="2153"/>
      <c r="D41" s="2154"/>
      <c r="E41" s="2154"/>
      <c r="F41" s="2154"/>
      <c r="G41" s="2154"/>
      <c r="H41" s="2154"/>
      <c r="I41" s="2155"/>
    </row>
    <row r="42" spans="2:9" ht="18" customHeight="1" x14ac:dyDescent="0.2">
      <c r="B42" s="2148" t="s">
        <v>71</v>
      </c>
      <c r="C42" s="2150" t="s">
        <v>76</v>
      </c>
      <c r="D42" s="2151"/>
      <c r="E42" s="2151"/>
      <c r="F42" s="2151"/>
      <c r="G42" s="2151"/>
      <c r="H42" s="2151"/>
      <c r="I42" s="2152"/>
    </row>
    <row r="43" spans="2:9" ht="18" customHeight="1" x14ac:dyDescent="0.2">
      <c r="B43" s="2148"/>
      <c r="C43" s="2153"/>
      <c r="D43" s="2154"/>
      <c r="E43" s="2154"/>
      <c r="F43" s="2154"/>
      <c r="G43" s="2154"/>
      <c r="H43" s="2154"/>
      <c r="I43" s="2155"/>
    </row>
    <row r="44" spans="2:9" ht="18" customHeight="1" x14ac:dyDescent="0.2">
      <c r="B44" s="2148"/>
      <c r="C44" s="2150"/>
      <c r="D44" s="2151"/>
      <c r="E44" s="2151"/>
      <c r="F44" s="2151"/>
      <c r="G44" s="2151"/>
      <c r="H44" s="2151"/>
      <c r="I44" s="2152"/>
    </row>
    <row r="45" spans="2:9" ht="18" customHeight="1" thickBot="1" x14ac:dyDescent="0.25">
      <c r="B45" s="2149"/>
      <c r="C45" s="2156"/>
      <c r="D45" s="2157"/>
      <c r="E45" s="2157"/>
      <c r="F45" s="2157"/>
      <c r="G45" s="2157"/>
      <c r="H45" s="2157"/>
      <c r="I45" s="2158"/>
    </row>
    <row r="46" spans="2:9" ht="13.5" thickTop="1" x14ac:dyDescent="0.2">
      <c r="B46" s="1014"/>
    </row>
  </sheetData>
  <mergeCells count="10">
    <mergeCell ref="B44:B45"/>
    <mergeCell ref="C36:I37"/>
    <mergeCell ref="C38:I39"/>
    <mergeCell ref="C40:I41"/>
    <mergeCell ref="C42:I43"/>
    <mergeCell ref="C44:I45"/>
    <mergeCell ref="B36:B37"/>
    <mergeCell ref="B38:B39"/>
    <mergeCell ref="B40:B41"/>
    <mergeCell ref="B42:B43"/>
  </mergeCells>
  <phoneticPr fontId="14" type="noConversion"/>
  <printOptions horizontalCentered="1"/>
  <pageMargins left="0.74803149606299213" right="0.51181102362204722" top="0.98425196850393704" bottom="2.0078740157480315" header="1.0236220472440944" footer="0.51181102362204722"/>
  <pageSetup paperSize="5" scale="9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topLeftCell="A7" zoomScale="90" zoomScaleNormal="90" workbookViewId="0">
      <selection activeCell="E18" sqref="E18"/>
    </sheetView>
  </sheetViews>
  <sheetFormatPr defaultRowHeight="12.75" x14ac:dyDescent="0.2"/>
  <cols>
    <col min="3" max="3" width="70.5703125" customWidth="1"/>
    <col min="4" max="4" width="5.42578125" customWidth="1"/>
    <col min="5" max="5" width="21.28515625" customWidth="1"/>
    <col min="7" max="7" width="14" bestFit="1" customWidth="1"/>
  </cols>
  <sheetData>
    <row r="2" spans="3:8" ht="15.75" x14ac:dyDescent="0.25">
      <c r="C2" s="2869" t="s">
        <v>493</v>
      </c>
      <c r="D2" s="2869"/>
      <c r="E2" s="2869"/>
    </row>
    <row r="3" spans="3:8" ht="15.75" x14ac:dyDescent="0.25">
      <c r="C3" s="2869" t="s">
        <v>468</v>
      </c>
      <c r="D3" s="2869"/>
      <c r="E3" s="2869"/>
    </row>
    <row r="4" spans="3:8" ht="15.75" x14ac:dyDescent="0.25">
      <c r="C4" s="2869" t="s">
        <v>33</v>
      </c>
      <c r="D4" s="2869"/>
      <c r="E4" s="2869"/>
    </row>
    <row r="5" spans="3:8" ht="15" x14ac:dyDescent="0.2">
      <c r="C5" s="280"/>
      <c r="D5" s="280"/>
      <c r="E5" s="280"/>
    </row>
    <row r="6" spans="3:8" ht="15" x14ac:dyDescent="0.2">
      <c r="C6" s="280"/>
      <c r="D6" s="280"/>
      <c r="E6" s="280"/>
    </row>
    <row r="7" spans="3:8" ht="15" x14ac:dyDescent="0.2">
      <c r="C7" s="280"/>
      <c r="D7" s="280"/>
      <c r="E7" s="280"/>
    </row>
    <row r="8" spans="3:8" ht="27.75" customHeight="1" x14ac:dyDescent="0.55000000000000004">
      <c r="C8" s="279" t="s">
        <v>84</v>
      </c>
      <c r="D8" s="280" t="s">
        <v>362</v>
      </c>
      <c r="E8" s="283">
        <f>E9+E11</f>
        <v>8064624386</v>
      </c>
    </row>
    <row r="9" spans="3:8" ht="18.75" customHeight="1" x14ac:dyDescent="0.25">
      <c r="C9" s="279" t="s">
        <v>85</v>
      </c>
      <c r="D9" s="280" t="s">
        <v>362</v>
      </c>
      <c r="E9" s="281">
        <f>E10</f>
        <v>3261401538</v>
      </c>
      <c r="G9" s="120">
        <f>5219325453-E8</f>
        <v>-2845298933</v>
      </c>
    </row>
    <row r="10" spans="3:8" ht="15" x14ac:dyDescent="0.2">
      <c r="C10" s="280" t="s">
        <v>18</v>
      </c>
      <c r="D10" s="280" t="s">
        <v>362</v>
      </c>
      <c r="E10" s="282">
        <f>'RECAP APBD'!J30</f>
        <v>3261401538</v>
      </c>
      <c r="G10" s="278"/>
      <c r="H10" s="278"/>
    </row>
    <row r="11" spans="3:8" ht="24" customHeight="1" x14ac:dyDescent="0.25">
      <c r="C11" s="279" t="s">
        <v>98</v>
      </c>
      <c r="D11" s="280" t="s">
        <v>362</v>
      </c>
      <c r="E11" s="281">
        <f>SUM(E12:E14)</f>
        <v>4803222848</v>
      </c>
    </row>
    <row r="12" spans="3:8" ht="15" x14ac:dyDescent="0.2">
      <c r="C12" s="280" t="s">
        <v>18</v>
      </c>
      <c r="D12" s="280" t="s">
        <v>362</v>
      </c>
      <c r="E12" s="282">
        <f>'RECAP APBD'!J32</f>
        <v>509965000</v>
      </c>
      <c r="G12" s="130"/>
    </row>
    <row r="13" spans="3:8" ht="15" x14ac:dyDescent="0.2">
      <c r="C13" s="280" t="s">
        <v>96</v>
      </c>
      <c r="D13" s="280" t="s">
        <v>362</v>
      </c>
      <c r="E13" s="282">
        <f>'RECAP APBD'!J33</f>
        <v>2750877006</v>
      </c>
    </row>
    <row r="14" spans="3:8" ht="15" x14ac:dyDescent="0.2">
      <c r="C14" s="280" t="s">
        <v>97</v>
      </c>
      <c r="D14" s="280" t="s">
        <v>362</v>
      </c>
      <c r="E14" s="282">
        <f>'RECAP APBD'!J34</f>
        <v>1542380842</v>
      </c>
    </row>
    <row r="15" spans="3:8" ht="15" x14ac:dyDescent="0.2">
      <c r="C15" s="280"/>
      <c r="D15" s="280"/>
      <c r="E15" s="280"/>
    </row>
    <row r="16" spans="3:8" ht="15" x14ac:dyDescent="0.2">
      <c r="C16" s="280"/>
      <c r="D16" s="280"/>
      <c r="E16" s="280"/>
    </row>
    <row r="17" spans="3:7" ht="15" x14ac:dyDescent="0.2">
      <c r="C17" s="280" t="s">
        <v>469</v>
      </c>
      <c r="D17" s="280"/>
      <c r="E17" s="280"/>
    </row>
    <row r="18" spans="3:7" ht="15" x14ac:dyDescent="0.2">
      <c r="C18" s="280" t="s">
        <v>361</v>
      </c>
      <c r="D18" s="280" t="s">
        <v>362</v>
      </c>
      <c r="E18" s="284">
        <f>E11-E20</f>
        <v>4803222848</v>
      </c>
    </row>
    <row r="19" spans="3:7" ht="15" x14ac:dyDescent="0.2">
      <c r="C19" s="280"/>
      <c r="D19" s="280"/>
      <c r="E19" s="280"/>
    </row>
    <row r="20" spans="3:7" ht="19.5" customHeight="1" x14ac:dyDescent="0.55000000000000004">
      <c r="C20" s="279" t="s">
        <v>360</v>
      </c>
      <c r="D20" s="279" t="s">
        <v>362</v>
      </c>
      <c r="E20" s="283">
        <f>SUM(E21:E25)</f>
        <v>0</v>
      </c>
    </row>
    <row r="21" spans="3:7" ht="15" x14ac:dyDescent="0.2">
      <c r="C21" s="312">
        <v>0</v>
      </c>
      <c r="D21" s="280"/>
      <c r="E21" s="282">
        <v>0</v>
      </c>
      <c r="G21" s="120"/>
    </row>
    <row r="22" spans="3:7" ht="38.25" customHeight="1" x14ac:dyDescent="0.2">
      <c r="C22" s="312">
        <v>0</v>
      </c>
      <c r="D22" s="280"/>
      <c r="E22" s="282">
        <v>0</v>
      </c>
    </row>
    <row r="23" spans="3:7" ht="35.25" customHeight="1" x14ac:dyDescent="0.2">
      <c r="C23" s="280">
        <v>0</v>
      </c>
      <c r="D23" s="280"/>
      <c r="E23" s="282">
        <v>0</v>
      </c>
    </row>
    <row r="24" spans="3:7" ht="15" x14ac:dyDescent="0.2">
      <c r="C24" s="312">
        <v>0</v>
      </c>
      <c r="D24" s="280"/>
      <c r="E24" s="282">
        <v>0</v>
      </c>
    </row>
    <row r="25" spans="3:7" ht="21.75" customHeight="1" x14ac:dyDescent="0.2">
      <c r="C25" s="312">
        <v>0</v>
      </c>
      <c r="E25" s="282">
        <v>0</v>
      </c>
    </row>
    <row r="26" spans="3:7" ht="15" x14ac:dyDescent="0.2">
      <c r="C26" s="280"/>
      <c r="D26" s="280"/>
      <c r="E26" s="284"/>
    </row>
    <row r="27" spans="3:7" ht="15" x14ac:dyDescent="0.2">
      <c r="C27" s="280"/>
      <c r="D27" s="280"/>
      <c r="E27" s="280"/>
    </row>
  </sheetData>
  <mergeCells count="3">
    <mergeCell ref="C2:E2"/>
    <mergeCell ref="C3:E3"/>
    <mergeCell ref="C4:E4"/>
  </mergeCells>
  <pageMargins left="0.45" right="0.14000000000000001" top="0.75" bottom="0.75" header="0.3" footer="0.3"/>
  <pageSetup paperSize="9" orientation="portrait" horizontalDpi="4294967293"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K7" sqref="K7"/>
    </sheetView>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x14ac:dyDescent="0.2">
      <c r="B1" s="155" t="s">
        <v>267</v>
      </c>
      <c r="C1" s="156"/>
      <c r="D1" s="163"/>
      <c r="E1" s="163"/>
    </row>
    <row r="2" spans="2:5" x14ac:dyDescent="0.2">
      <c r="B2" s="155" t="s">
        <v>260</v>
      </c>
      <c r="C2" s="156"/>
      <c r="D2" s="163"/>
      <c r="E2" s="163"/>
    </row>
    <row r="3" spans="2:5" x14ac:dyDescent="0.2">
      <c r="B3" s="157"/>
      <c r="C3" s="157"/>
      <c r="D3" s="164"/>
      <c r="E3" s="164"/>
    </row>
    <row r="4" spans="2:5" ht="38.25" x14ac:dyDescent="0.2">
      <c r="B4" s="158" t="s">
        <v>261</v>
      </c>
      <c r="C4" s="157"/>
      <c r="D4" s="164"/>
      <c r="E4" s="164"/>
    </row>
    <row r="5" spans="2:5" x14ac:dyDescent="0.2">
      <c r="B5" s="157"/>
      <c r="C5" s="157"/>
      <c r="D5" s="164"/>
      <c r="E5" s="164"/>
    </row>
    <row r="6" spans="2:5" x14ac:dyDescent="0.2">
      <c r="B6" s="155" t="s">
        <v>262</v>
      </c>
      <c r="C6" s="156"/>
      <c r="D6" s="163"/>
      <c r="E6" s="165" t="s">
        <v>263</v>
      </c>
    </row>
    <row r="7" spans="2:5" ht="13.5" thickBot="1" x14ac:dyDescent="0.25">
      <c r="B7" s="157"/>
      <c r="C7" s="157"/>
      <c r="D7" s="164"/>
      <c r="E7" s="164"/>
    </row>
    <row r="8" spans="2:5" ht="51" x14ac:dyDescent="0.2">
      <c r="B8" s="159" t="s">
        <v>264</v>
      </c>
      <c r="C8" s="160"/>
      <c r="D8" s="166"/>
      <c r="E8" s="167">
        <v>4</v>
      </c>
    </row>
    <row r="9" spans="2:5" ht="13.5" thickBot="1" x14ac:dyDescent="0.25">
      <c r="B9" s="161"/>
      <c r="C9" s="162"/>
      <c r="D9" s="168"/>
      <c r="E9" s="169" t="s">
        <v>265</v>
      </c>
    </row>
    <row r="10" spans="2:5" x14ac:dyDescent="0.2">
      <c r="B10" s="157"/>
      <c r="C10" s="157"/>
      <c r="D10" s="164"/>
      <c r="E10" s="164"/>
    </row>
  </sheetData>
  <hyperlinks>
    <hyperlink ref="E9" location="'PAD'!H72:H75" display="'PAD'!H72:H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P51"/>
  <sheetViews>
    <sheetView view="pageBreakPreview" topLeftCell="A10" zoomScale="70" zoomScaleNormal="75" zoomScaleSheetLayoutView="70" workbookViewId="0">
      <selection activeCell="E49" sqref="E49:F49"/>
    </sheetView>
  </sheetViews>
  <sheetFormatPr defaultColWidth="8.7109375" defaultRowHeight="12.75" x14ac:dyDescent="0.2"/>
  <cols>
    <col min="1" max="1" width="6.140625" style="715" customWidth="1"/>
    <col min="2" max="4" width="8.5703125" style="715" customWidth="1"/>
    <col min="5" max="5" width="47.5703125" style="715" customWidth="1"/>
    <col min="6" max="6" width="25.5703125" style="715" customWidth="1"/>
    <col min="7" max="7" width="10.85546875" style="715" customWidth="1"/>
    <col min="8" max="9" width="18.7109375" style="715" customWidth="1"/>
    <col min="10" max="10" width="37.85546875" style="715" customWidth="1"/>
    <col min="11" max="11" width="19.85546875" style="715" customWidth="1"/>
    <col min="12" max="12" width="18" style="715" customWidth="1"/>
    <col min="13" max="13" width="18.140625" style="715" customWidth="1"/>
    <col min="14" max="14" width="15.28515625" style="715" customWidth="1"/>
    <col min="15" max="15" width="15.7109375" style="715" customWidth="1"/>
    <col min="16" max="16" width="16.85546875" style="715" customWidth="1"/>
    <col min="17" max="16384" width="8.7109375" style="715"/>
  </cols>
  <sheetData>
    <row r="1" spans="1:9" ht="13.5" thickBot="1" x14ac:dyDescent="0.25"/>
    <row r="2" spans="1:9" ht="18.95" customHeight="1" thickTop="1" x14ac:dyDescent="0.2">
      <c r="A2" s="718"/>
      <c r="B2" s="72"/>
      <c r="C2" s="73"/>
      <c r="D2" s="2174" t="s">
        <v>212</v>
      </c>
      <c r="E2" s="2175"/>
      <c r="F2" s="2178" t="s">
        <v>67</v>
      </c>
      <c r="G2" s="655"/>
      <c r="H2" s="655"/>
      <c r="I2" s="655"/>
    </row>
    <row r="3" spans="1:9" ht="18.95" customHeight="1" thickBot="1" x14ac:dyDescent="0.25">
      <c r="A3" s="718"/>
      <c r="B3" s="111"/>
      <c r="C3" s="5"/>
      <c r="D3" s="2176" t="s">
        <v>183</v>
      </c>
      <c r="E3" s="2177"/>
      <c r="F3" s="2179"/>
      <c r="G3" s="655"/>
      <c r="H3" s="655"/>
      <c r="I3" s="655"/>
    </row>
    <row r="4" spans="1:9" ht="12.95" customHeight="1" x14ac:dyDescent="0.2">
      <c r="A4" s="718"/>
      <c r="B4" s="2161" t="s">
        <v>33</v>
      </c>
      <c r="C4" s="2162"/>
      <c r="D4" s="2162"/>
      <c r="E4" s="2162"/>
      <c r="F4" s="2163"/>
      <c r="G4" s="655"/>
      <c r="H4" s="655"/>
      <c r="I4" s="655"/>
    </row>
    <row r="5" spans="1:9" ht="12.95" customHeight="1" x14ac:dyDescent="0.2">
      <c r="A5" s="718"/>
      <c r="B5" s="2164" t="s">
        <v>934</v>
      </c>
      <c r="C5" s="2165"/>
      <c r="D5" s="2165"/>
      <c r="E5" s="2165"/>
      <c r="F5" s="2166"/>
      <c r="G5" s="655"/>
      <c r="H5" s="655"/>
      <c r="I5" s="655"/>
    </row>
    <row r="6" spans="1:9" ht="12.95" customHeight="1" x14ac:dyDescent="0.2">
      <c r="A6" s="718"/>
      <c r="B6" s="2169" t="s">
        <v>184</v>
      </c>
      <c r="C6" s="2170"/>
      <c r="D6" s="2170"/>
      <c r="E6" s="2170" t="s">
        <v>439</v>
      </c>
      <c r="F6" s="2171"/>
      <c r="G6" s="296"/>
      <c r="H6" s="296"/>
      <c r="I6" s="296"/>
    </row>
    <row r="7" spans="1:9" ht="12.95" customHeight="1" x14ac:dyDescent="0.2">
      <c r="A7" s="718"/>
      <c r="B7" s="2169" t="s">
        <v>186</v>
      </c>
      <c r="C7" s="2170"/>
      <c r="D7" s="2170"/>
      <c r="E7" s="2170" t="s">
        <v>467</v>
      </c>
      <c r="F7" s="2171"/>
      <c r="G7" s="296"/>
      <c r="H7" s="296"/>
      <c r="I7" s="296"/>
    </row>
    <row r="8" spans="1:9" ht="12.95" customHeight="1" x14ac:dyDescent="0.2">
      <c r="A8" s="718"/>
      <c r="B8" s="135"/>
      <c r="C8" s="136"/>
      <c r="D8" s="136"/>
      <c r="E8" s="136"/>
      <c r="F8" s="663" t="s">
        <v>424</v>
      </c>
      <c r="G8" s="681"/>
      <c r="H8" s="681"/>
      <c r="I8" s="681"/>
    </row>
    <row r="9" spans="1:9" ht="12.95" customHeight="1" x14ac:dyDescent="0.2">
      <c r="A9" s="718"/>
      <c r="B9" s="2182" t="s">
        <v>187</v>
      </c>
      <c r="C9" s="2183"/>
      <c r="D9" s="2183"/>
      <c r="E9" s="2183"/>
      <c r="F9" s="2184"/>
      <c r="G9" s="682"/>
      <c r="H9" s="682"/>
      <c r="I9" s="682"/>
    </row>
    <row r="10" spans="1:9" ht="12.95" customHeight="1" x14ac:dyDescent="0.2">
      <c r="A10" s="718"/>
      <c r="B10" s="2185" t="s">
        <v>188</v>
      </c>
      <c r="C10" s="2186"/>
      <c r="D10" s="2186"/>
      <c r="E10" s="2186"/>
      <c r="F10" s="2187"/>
      <c r="G10" s="682"/>
      <c r="H10" s="682"/>
      <c r="I10" s="682"/>
    </row>
    <row r="11" spans="1:9" ht="12.95" customHeight="1" x14ac:dyDescent="0.2">
      <c r="A11" s="718"/>
      <c r="B11" s="2188" t="s">
        <v>189</v>
      </c>
      <c r="C11" s="2189"/>
      <c r="D11" s="2189"/>
      <c r="E11" s="2192" t="s">
        <v>191</v>
      </c>
      <c r="F11" s="944" t="s">
        <v>192</v>
      </c>
      <c r="G11" s="661"/>
      <c r="H11" s="661"/>
      <c r="I11" s="661"/>
    </row>
    <row r="12" spans="1:9" ht="12.95" customHeight="1" x14ac:dyDescent="0.2">
      <c r="A12" s="718"/>
      <c r="B12" s="2190" t="s">
        <v>190</v>
      </c>
      <c r="C12" s="2191"/>
      <c r="D12" s="2191"/>
      <c r="E12" s="2193"/>
      <c r="F12" s="945" t="s">
        <v>193</v>
      </c>
      <c r="G12" s="661"/>
      <c r="H12" s="661"/>
      <c r="I12" s="661"/>
    </row>
    <row r="13" spans="1:9" ht="12.95" customHeight="1" x14ac:dyDescent="0.2">
      <c r="A13" s="718"/>
      <c r="B13" s="2194">
        <v>1</v>
      </c>
      <c r="C13" s="2195"/>
      <c r="D13" s="2195"/>
      <c r="E13" s="946">
        <v>2</v>
      </c>
      <c r="F13" s="947">
        <v>3</v>
      </c>
      <c r="G13" s="661"/>
      <c r="H13" s="661"/>
      <c r="I13" s="661"/>
    </row>
    <row r="14" spans="1:9" ht="12.95" customHeight="1" x14ac:dyDescent="0.2">
      <c r="A14" s="718"/>
      <c r="B14" s="941"/>
      <c r="C14" s="942"/>
      <c r="D14" s="942"/>
      <c r="E14" s="955"/>
      <c r="F14" s="961"/>
      <c r="G14" s="730"/>
      <c r="H14" s="730"/>
      <c r="I14" s="730"/>
    </row>
    <row r="15" spans="1:9" ht="12.95" customHeight="1" x14ac:dyDescent="0.2">
      <c r="A15" s="718"/>
      <c r="B15" s="939">
        <v>4</v>
      </c>
      <c r="C15" s="940"/>
      <c r="D15" s="940"/>
      <c r="E15" s="948" t="s">
        <v>78</v>
      </c>
      <c r="F15" s="949">
        <f>F16</f>
        <v>0</v>
      </c>
      <c r="G15" s="297"/>
      <c r="H15" s="297"/>
      <c r="I15" s="297"/>
    </row>
    <row r="16" spans="1:9" ht="12.95" customHeight="1" x14ac:dyDescent="0.2">
      <c r="A16" s="718"/>
      <c r="B16" s="939">
        <v>4</v>
      </c>
      <c r="C16" s="940">
        <v>1</v>
      </c>
      <c r="D16" s="940"/>
      <c r="E16" s="950" t="s">
        <v>79</v>
      </c>
      <c r="F16" s="949">
        <f>F18</f>
        <v>0</v>
      </c>
      <c r="G16" s="297"/>
      <c r="H16" s="297"/>
      <c r="I16" s="297"/>
    </row>
    <row r="17" spans="1:16" ht="12.95" customHeight="1" x14ac:dyDescent="0.2">
      <c r="A17" s="718"/>
      <c r="B17" s="939">
        <v>4</v>
      </c>
      <c r="C17" s="940">
        <v>1</v>
      </c>
      <c r="D17" s="940">
        <v>1</v>
      </c>
      <c r="E17" s="951" t="s">
        <v>88</v>
      </c>
      <c r="F17" s="952"/>
      <c r="G17" s="298"/>
      <c r="H17" s="298"/>
      <c r="I17" s="298"/>
    </row>
    <row r="18" spans="1:16" ht="12.95" customHeight="1" x14ac:dyDescent="0.2">
      <c r="A18" s="718"/>
      <c r="B18" s="939">
        <v>4</v>
      </c>
      <c r="C18" s="940">
        <v>1</v>
      </c>
      <c r="D18" s="940">
        <v>2</v>
      </c>
      <c r="E18" s="951" t="s">
        <v>89</v>
      </c>
      <c r="F18" s="953">
        <f>W14</f>
        <v>0</v>
      </c>
      <c r="G18" s="299"/>
      <c r="H18" s="299"/>
      <c r="I18" s="299"/>
    </row>
    <row r="19" spans="1:16" ht="12.95" customHeight="1" x14ac:dyDescent="0.2">
      <c r="A19" s="718"/>
      <c r="B19" s="939">
        <v>4</v>
      </c>
      <c r="C19" s="940">
        <v>1</v>
      </c>
      <c r="D19" s="940">
        <v>3</v>
      </c>
      <c r="E19" s="951" t="s">
        <v>90</v>
      </c>
      <c r="F19" s="954"/>
      <c r="G19" s="298"/>
      <c r="H19" s="298"/>
      <c r="I19" s="298"/>
      <c r="M19" s="962" t="s">
        <v>546</v>
      </c>
      <c r="N19" s="818" t="s">
        <v>545</v>
      </c>
      <c r="P19" s="818" t="s">
        <v>330</v>
      </c>
    </row>
    <row r="20" spans="1:16" ht="12.95" customHeight="1" x14ac:dyDescent="0.2">
      <c r="A20" s="718"/>
      <c r="B20" s="939">
        <v>4</v>
      </c>
      <c r="C20" s="940">
        <v>1</v>
      </c>
      <c r="D20" s="940">
        <v>4</v>
      </c>
      <c r="E20" s="951" t="s">
        <v>91</v>
      </c>
      <c r="F20" s="954"/>
      <c r="G20" s="298"/>
      <c r="H20" s="298"/>
      <c r="I20" s="298"/>
      <c r="M20" s="725">
        <f>M21+M23</f>
        <v>5219325453</v>
      </c>
      <c r="N20" s="720">
        <f>N21+N23</f>
        <v>8789325453</v>
      </c>
      <c r="O20" s="725">
        <f>M20-N20</f>
        <v>-3570000000</v>
      </c>
      <c r="P20" s="725">
        <f>M20-N20</f>
        <v>-3570000000</v>
      </c>
    </row>
    <row r="21" spans="1:16" ht="12.95" customHeight="1" x14ac:dyDescent="0.2">
      <c r="A21" s="718"/>
      <c r="B21" s="939">
        <v>4</v>
      </c>
      <c r="C21" s="940">
        <v>2</v>
      </c>
      <c r="D21" s="940"/>
      <c r="E21" s="951" t="s">
        <v>92</v>
      </c>
      <c r="F21" s="954"/>
      <c r="G21" s="298"/>
      <c r="H21" s="298"/>
      <c r="I21" s="298"/>
      <c r="L21" s="715" t="s">
        <v>412</v>
      </c>
      <c r="M21" s="720">
        <v>3079716003</v>
      </c>
      <c r="N21" s="720">
        <v>3079716003</v>
      </c>
      <c r="O21" s="725">
        <f t="shared" ref="O21:O23" si="0">M21-N21</f>
        <v>0</v>
      </c>
      <c r="P21" s="725">
        <f t="shared" ref="P21:P22" si="1">M21-N21</f>
        <v>0</v>
      </c>
    </row>
    <row r="22" spans="1:16" ht="12.95" customHeight="1" x14ac:dyDescent="0.2">
      <c r="A22" s="718"/>
      <c r="B22" s="939">
        <v>4</v>
      </c>
      <c r="C22" s="940">
        <v>2</v>
      </c>
      <c r="D22" s="940">
        <v>1</v>
      </c>
      <c r="E22" s="951" t="s">
        <v>93</v>
      </c>
      <c r="F22" s="952"/>
      <c r="G22" s="298"/>
      <c r="H22" s="298"/>
      <c r="I22" s="298"/>
      <c r="O22" s="725">
        <f t="shared" si="0"/>
        <v>0</v>
      </c>
      <c r="P22" s="725">
        <f t="shared" si="1"/>
        <v>0</v>
      </c>
    </row>
    <row r="23" spans="1:16" ht="12.95" customHeight="1" x14ac:dyDescent="0.2">
      <c r="A23" s="718"/>
      <c r="B23" s="939">
        <v>4</v>
      </c>
      <c r="C23" s="940">
        <v>2</v>
      </c>
      <c r="D23" s="940">
        <v>2</v>
      </c>
      <c r="E23" s="951" t="s">
        <v>554</v>
      </c>
      <c r="F23" s="952"/>
      <c r="G23" s="298"/>
      <c r="H23" s="298"/>
      <c r="I23" s="298"/>
      <c r="L23" s="715" t="s">
        <v>413</v>
      </c>
      <c r="M23" s="720">
        <v>2139609450</v>
      </c>
      <c r="N23" s="188">
        <v>5709609450</v>
      </c>
      <c r="O23" s="725">
        <f t="shared" si="0"/>
        <v>-3570000000</v>
      </c>
      <c r="P23" s="725">
        <f>M23-N23</f>
        <v>-3570000000</v>
      </c>
    </row>
    <row r="24" spans="1:16" ht="12.95" customHeight="1" x14ac:dyDescent="0.2">
      <c r="A24" s="718"/>
      <c r="B24" s="939">
        <v>4</v>
      </c>
      <c r="C24" s="940">
        <v>2</v>
      </c>
      <c r="D24" s="940">
        <v>3</v>
      </c>
      <c r="E24" s="951" t="s">
        <v>94</v>
      </c>
      <c r="F24" s="952"/>
      <c r="G24" s="298"/>
      <c r="H24" s="298"/>
      <c r="I24" s="298"/>
    </row>
    <row r="25" spans="1:16" ht="12.95" customHeight="1" x14ac:dyDescent="0.2">
      <c r="A25" s="718"/>
      <c r="B25" s="939">
        <v>4</v>
      </c>
      <c r="C25" s="940">
        <v>3</v>
      </c>
      <c r="D25" s="940"/>
      <c r="E25" s="951" t="s">
        <v>95</v>
      </c>
      <c r="F25" s="952"/>
      <c r="G25" s="298"/>
      <c r="H25" s="298"/>
      <c r="I25" s="298"/>
    </row>
    <row r="26" spans="1:16" ht="12.95" customHeight="1" x14ac:dyDescent="0.2">
      <c r="A26" s="718"/>
      <c r="B26" s="941"/>
      <c r="C26" s="942"/>
      <c r="D26" s="942"/>
      <c r="E26" s="955"/>
      <c r="F26" s="956"/>
      <c r="G26" s="300"/>
      <c r="H26" s="300"/>
      <c r="I26" s="300"/>
      <c r="K26" s="963"/>
      <c r="N26" s="964"/>
    </row>
    <row r="27" spans="1:16" ht="12.95" customHeight="1" x14ac:dyDescent="0.2">
      <c r="A27" s="718"/>
      <c r="B27" s="941">
        <v>5</v>
      </c>
      <c r="C27" s="942"/>
      <c r="D27" s="942"/>
      <c r="E27" s="950" t="s">
        <v>84</v>
      </c>
      <c r="F27" s="949">
        <f>+F28+F30</f>
        <v>8064624386</v>
      </c>
      <c r="G27" s="297"/>
      <c r="H27" s="297">
        <v>8789325453</v>
      </c>
      <c r="I27" s="303"/>
      <c r="J27" s="306"/>
      <c r="K27" s="721"/>
      <c r="N27" s="725"/>
    </row>
    <row r="28" spans="1:16" ht="12.95" customHeight="1" x14ac:dyDescent="0.2">
      <c r="A28" s="718"/>
      <c r="B28" s="941">
        <v>5</v>
      </c>
      <c r="C28" s="942">
        <v>1</v>
      </c>
      <c r="D28" s="942"/>
      <c r="E28" s="950" t="s">
        <v>85</v>
      </c>
      <c r="F28" s="957">
        <f>'rutin BTL'!P16</f>
        <v>3261401538</v>
      </c>
      <c r="G28" s="301"/>
      <c r="H28" s="301"/>
      <c r="I28" s="720">
        <v>5219325453</v>
      </c>
      <c r="J28" s="306" t="s">
        <v>534</v>
      </c>
      <c r="N28" s="725"/>
    </row>
    <row r="29" spans="1:16" ht="12.95" customHeight="1" x14ac:dyDescent="0.2">
      <c r="A29" s="718"/>
      <c r="B29" s="941">
        <v>5</v>
      </c>
      <c r="C29" s="942">
        <v>1</v>
      </c>
      <c r="D29" s="942">
        <v>1</v>
      </c>
      <c r="E29" s="955" t="s">
        <v>18</v>
      </c>
      <c r="F29" s="958">
        <f>'rutin BTL'!P18</f>
        <v>3261401538</v>
      </c>
      <c r="G29" s="302"/>
      <c r="H29" s="302"/>
      <c r="I29" s="307"/>
      <c r="J29" s="306"/>
      <c r="L29" s="725"/>
      <c r="M29" s="725"/>
    </row>
    <row r="30" spans="1:16" ht="12.95" customHeight="1" x14ac:dyDescent="0.2">
      <c r="A30" s="718"/>
      <c r="B30" s="941">
        <v>5</v>
      </c>
      <c r="C30" s="942">
        <v>2</v>
      </c>
      <c r="D30" s="942"/>
      <c r="E30" s="950" t="s">
        <v>98</v>
      </c>
      <c r="F30" s="949">
        <f>'RECAP KEGIATAN BL'!O47</f>
        <v>4803222848</v>
      </c>
      <c r="G30" s="303"/>
      <c r="H30" s="303">
        <f>2139609450-F30</f>
        <v>-2663613398</v>
      </c>
      <c r="I30" s="306"/>
      <c r="J30" s="721">
        <f>F29</f>
        <v>3261401538</v>
      </c>
      <c r="K30" s="965">
        <f>F30-K31</f>
        <v>-3986102605</v>
      </c>
      <c r="L30" s="966" t="s">
        <v>330</v>
      </c>
      <c r="M30" s="150"/>
      <c r="N30" s="721">
        <f>'Mkan Mnum'!R31</f>
        <v>-5730000</v>
      </c>
      <c r="O30" s="715" t="s">
        <v>389</v>
      </c>
    </row>
    <row r="31" spans="1:16" ht="12.95" customHeight="1" x14ac:dyDescent="0.2">
      <c r="A31" s="718"/>
      <c r="B31" s="941">
        <v>5</v>
      </c>
      <c r="C31" s="942">
        <v>2</v>
      </c>
      <c r="D31" s="942">
        <v>1</v>
      </c>
      <c r="E31" s="955" t="s">
        <v>18</v>
      </c>
      <c r="F31" s="958">
        <f>'RECAP KEGIATAN BL'!L47</f>
        <v>509965000</v>
      </c>
      <c r="G31" s="302"/>
      <c r="H31" s="305">
        <f>I28-H27</f>
        <v>-3570000000</v>
      </c>
      <c r="I31" s="967" t="s">
        <v>392</v>
      </c>
      <c r="K31" s="965">
        <f>K32+K36</f>
        <v>8789325453</v>
      </c>
      <c r="L31" s="968" t="s">
        <v>548</v>
      </c>
      <c r="M31" s="787"/>
      <c r="N31" s="721">
        <f>'Honor NON PNS'!R31</f>
        <v>290100000</v>
      </c>
      <c r="O31" s="715" t="s">
        <v>390</v>
      </c>
    </row>
    <row r="32" spans="1:16" ht="12.95" customHeight="1" x14ac:dyDescent="0.2">
      <c r="A32" s="718"/>
      <c r="B32" s="941">
        <v>5</v>
      </c>
      <c r="C32" s="942">
        <v>2</v>
      </c>
      <c r="D32" s="942">
        <v>2</v>
      </c>
      <c r="E32" s="955" t="s">
        <v>96</v>
      </c>
      <c r="F32" s="958">
        <f>'RECAP KEGIATAN BL'!M47</f>
        <v>2750877006</v>
      </c>
      <c r="G32" s="302"/>
      <c r="H32" s="302">
        <f>F30-H33-H34-H35</f>
        <v>4803222848</v>
      </c>
      <c r="I32" s="715" t="s">
        <v>434</v>
      </c>
      <c r="J32" s="721">
        <f>F31</f>
        <v>509965000</v>
      </c>
      <c r="K32" s="720">
        <f>N20</f>
        <v>8789325453</v>
      </c>
      <c r="L32" s="715" t="s">
        <v>547</v>
      </c>
      <c r="M32" s="725"/>
      <c r="N32" s="720" t="e">
        <f>#REF!</f>
        <v>#REF!</v>
      </c>
      <c r="O32" s="715" t="s">
        <v>391</v>
      </c>
    </row>
    <row r="33" spans="1:16" ht="12.95" customHeight="1" x14ac:dyDescent="0.2">
      <c r="A33" s="718"/>
      <c r="B33" s="941">
        <v>5</v>
      </c>
      <c r="C33" s="942">
        <v>2</v>
      </c>
      <c r="D33" s="942">
        <v>3</v>
      </c>
      <c r="E33" s="955" t="s">
        <v>97</v>
      </c>
      <c r="F33" s="958">
        <f>'RECAP KEGIATAN BL'!N47</f>
        <v>1542380842</v>
      </c>
      <c r="G33" s="304"/>
      <c r="H33" s="304"/>
      <c r="I33" s="715" t="s">
        <v>416</v>
      </c>
      <c r="J33" s="721">
        <f>F32</f>
        <v>2750877006</v>
      </c>
      <c r="K33" s="720">
        <v>0</v>
      </c>
      <c r="L33" s="715" t="s">
        <v>416</v>
      </c>
      <c r="N33" s="904" t="e">
        <f>#REF!</f>
        <v>#REF!</v>
      </c>
      <c r="O33" s="715" t="s">
        <v>411</v>
      </c>
    </row>
    <row r="34" spans="1:16" ht="12.95" customHeight="1" x14ac:dyDescent="0.2">
      <c r="A34" s="718"/>
      <c r="B34" s="941"/>
      <c r="C34" s="942"/>
      <c r="D34" s="942"/>
      <c r="E34" s="955"/>
      <c r="F34" s="956"/>
      <c r="G34" s="300"/>
      <c r="H34" s="300">
        <v>0</v>
      </c>
      <c r="I34" s="715" t="s">
        <v>415</v>
      </c>
      <c r="J34" s="721">
        <f>F33</f>
        <v>1542380842</v>
      </c>
      <c r="K34" s="720">
        <v>0</v>
      </c>
      <c r="L34" s="715" t="s">
        <v>415</v>
      </c>
      <c r="N34" s="720" t="e">
        <f>#REF!</f>
        <v>#REF!</v>
      </c>
      <c r="O34" s="715" t="s">
        <v>418</v>
      </c>
    </row>
    <row r="35" spans="1:16" ht="12.95" customHeight="1" x14ac:dyDescent="0.2">
      <c r="A35" s="718"/>
      <c r="B35" s="941"/>
      <c r="C35" s="942"/>
      <c r="D35" s="942"/>
      <c r="E35" s="955"/>
      <c r="F35" s="956"/>
      <c r="G35" s="300"/>
      <c r="H35" s="300">
        <v>0</v>
      </c>
      <c r="I35" s="715" t="s">
        <v>433</v>
      </c>
      <c r="K35" s="720">
        <f>K32-N21</f>
        <v>5709609450</v>
      </c>
      <c r="L35" s="715" t="s">
        <v>417</v>
      </c>
      <c r="M35" s="721"/>
      <c r="N35" s="897" t="e">
        <f>#REF!</f>
        <v>#REF!</v>
      </c>
      <c r="O35" s="715" t="s">
        <v>419</v>
      </c>
      <c r="P35" s="908"/>
    </row>
    <row r="36" spans="1:16" ht="12.95" customHeight="1" thickBot="1" x14ac:dyDescent="0.25">
      <c r="A36" s="718"/>
      <c r="B36" s="941"/>
      <c r="C36" s="943"/>
      <c r="D36" s="942"/>
      <c r="E36" s="955"/>
      <c r="F36" s="956"/>
      <c r="G36" s="300"/>
      <c r="H36" s="300"/>
      <c r="I36" s="300"/>
      <c r="K36" s="721">
        <v>0</v>
      </c>
      <c r="L36" s="715" t="s">
        <v>388</v>
      </c>
      <c r="N36" s="721" t="e">
        <f>SUM(N30:N35)</f>
        <v>#REF!</v>
      </c>
      <c r="P36" s="908"/>
    </row>
    <row r="37" spans="1:16" ht="12.95" customHeight="1" thickTop="1" thickBot="1" x14ac:dyDescent="0.25">
      <c r="A37" s="718"/>
      <c r="B37" s="2180"/>
      <c r="C37" s="2181"/>
      <c r="D37" s="2181"/>
      <c r="E37" s="664" t="s">
        <v>194</v>
      </c>
      <c r="F37" s="969">
        <f>F15-F27</f>
        <v>-8064624386</v>
      </c>
      <c r="G37" s="300"/>
      <c r="H37" s="300">
        <f>F30</f>
        <v>4803222848</v>
      </c>
      <c r="I37" s="300"/>
      <c r="K37" s="720">
        <v>0</v>
      </c>
      <c r="L37" s="725" t="s">
        <v>326</v>
      </c>
      <c r="M37" s="725"/>
      <c r="P37" s="908"/>
    </row>
    <row r="38" spans="1:16" ht="12.95" customHeight="1" thickTop="1" x14ac:dyDescent="0.2">
      <c r="A38" s="718"/>
      <c r="B38" s="697"/>
      <c r="C38" s="970"/>
      <c r="D38" s="970"/>
      <c r="E38" s="971"/>
      <c r="F38" s="972"/>
      <c r="G38" s="300"/>
      <c r="H38" s="300"/>
      <c r="I38" s="300"/>
      <c r="K38" s="725"/>
      <c r="N38" s="721" t="e">
        <f>N36-K30</f>
        <v>#REF!</v>
      </c>
      <c r="P38" s="908"/>
    </row>
    <row r="39" spans="1:16" ht="12.95" customHeight="1" x14ac:dyDescent="0.2">
      <c r="A39" s="718"/>
      <c r="B39" s="656"/>
      <c r="C39" s="937"/>
      <c r="D39" s="937"/>
      <c r="E39" s="959"/>
      <c r="F39" s="954"/>
      <c r="G39" s="298"/>
      <c r="H39" s="298"/>
      <c r="I39" s="298"/>
      <c r="K39" s="725">
        <f>F27</f>
        <v>8064624386</v>
      </c>
      <c r="L39" s="721" t="e">
        <f>N38</f>
        <v>#REF!</v>
      </c>
      <c r="P39" s="787"/>
    </row>
    <row r="40" spans="1:16" ht="12.95" customHeight="1" thickBot="1" x14ac:dyDescent="0.25">
      <c r="A40" s="718"/>
      <c r="B40" s="665"/>
      <c r="C40" s="666"/>
      <c r="D40" s="666"/>
      <c r="E40" s="667"/>
      <c r="F40" s="960"/>
      <c r="G40" s="298"/>
      <c r="H40" s="298"/>
      <c r="I40" s="298"/>
      <c r="N40" s="721">
        <v>18274341576</v>
      </c>
      <c r="O40" s="817">
        <v>18274941438</v>
      </c>
      <c r="P40" s="787"/>
    </row>
    <row r="41" spans="1:16" ht="12.95" customHeight="1" thickTop="1" thickBot="1" x14ac:dyDescent="0.25">
      <c r="A41" s="718"/>
      <c r="B41" s="2180"/>
      <c r="C41" s="2181"/>
      <c r="D41" s="2181"/>
      <c r="E41" s="664" t="s">
        <v>195</v>
      </c>
      <c r="F41" s="973"/>
      <c r="G41" s="300"/>
      <c r="H41" s="300"/>
      <c r="I41" s="300"/>
      <c r="K41" s="725">
        <f>F30</f>
        <v>4803222848</v>
      </c>
      <c r="N41" s="721">
        <f>F30-N40</f>
        <v>-13471118728</v>
      </c>
    </row>
    <row r="42" spans="1:16" ht="12.95" customHeight="1" thickTop="1" x14ac:dyDescent="0.2">
      <c r="A42" s="718"/>
      <c r="B42" s="2196"/>
      <c r="C42" s="2197"/>
      <c r="D42" s="2197"/>
      <c r="E42" s="2197"/>
      <c r="F42" s="2198"/>
      <c r="G42" s="730"/>
      <c r="H42" s="730"/>
      <c r="I42" s="730"/>
    </row>
    <row r="43" spans="1:16" ht="12.95" customHeight="1" x14ac:dyDescent="0.2">
      <c r="A43" s="718"/>
      <c r="B43" s="833"/>
      <c r="C43" s="730"/>
      <c r="D43" s="730"/>
      <c r="E43" s="2167" t="s">
        <v>935</v>
      </c>
      <c r="F43" s="2168"/>
      <c r="G43" s="730"/>
      <c r="H43" s="730"/>
      <c r="I43" s="730"/>
      <c r="J43" s="730"/>
    </row>
    <row r="44" spans="1:16" ht="12.95" customHeight="1" x14ac:dyDescent="0.2">
      <c r="A44" s="718"/>
      <c r="B44" s="833"/>
      <c r="C44" s="730"/>
      <c r="D44" s="730"/>
      <c r="E44" s="2172" t="s">
        <v>62</v>
      </c>
      <c r="F44" s="2173"/>
      <c r="G44" s="131"/>
      <c r="H44" s="131"/>
      <c r="I44" s="131"/>
      <c r="J44" s="131"/>
    </row>
    <row r="45" spans="1:16" ht="12.95" customHeight="1" x14ac:dyDescent="0.2">
      <c r="A45" s="718"/>
      <c r="B45" s="833"/>
      <c r="C45" s="730"/>
      <c r="D45" s="730"/>
      <c r="E45" s="2172" t="s">
        <v>188</v>
      </c>
      <c r="F45" s="2173"/>
      <c r="G45" s="144"/>
      <c r="H45" s="144"/>
      <c r="I45" s="144"/>
      <c r="J45" s="144"/>
    </row>
    <row r="46" spans="1:16" ht="12.95" customHeight="1" x14ac:dyDescent="0.2">
      <c r="A46" s="718"/>
      <c r="B46" s="833"/>
      <c r="C46" s="730"/>
      <c r="D46" s="730"/>
      <c r="E46" s="730"/>
      <c r="F46" s="662"/>
      <c r="G46" s="144"/>
      <c r="H46" s="144"/>
      <c r="I46" s="144"/>
      <c r="J46" s="144"/>
    </row>
    <row r="47" spans="1:16" ht="12.95" customHeight="1" x14ac:dyDescent="0.2">
      <c r="A47" s="718"/>
      <c r="B47" s="833"/>
      <c r="C47" s="730"/>
      <c r="D47" s="730"/>
      <c r="E47" s="730"/>
      <c r="F47" s="698"/>
      <c r="G47" s="730"/>
      <c r="H47" s="730"/>
      <c r="I47" s="730"/>
      <c r="J47" s="730"/>
    </row>
    <row r="48" spans="1:16" ht="12.95" customHeight="1" x14ac:dyDescent="0.2">
      <c r="A48" s="718"/>
      <c r="B48" s="833"/>
      <c r="C48" s="730"/>
      <c r="D48" s="730"/>
      <c r="E48" s="2199" t="s">
        <v>607</v>
      </c>
      <c r="F48" s="2200"/>
      <c r="G48" s="730"/>
      <c r="H48" s="730"/>
      <c r="I48" s="730"/>
      <c r="J48" s="730"/>
    </row>
    <row r="49" spans="1:10" ht="12.95" customHeight="1" x14ac:dyDescent="0.2">
      <c r="A49" s="718"/>
      <c r="B49" s="833"/>
      <c r="C49" s="730"/>
      <c r="D49" s="730"/>
      <c r="E49" s="2172" t="s">
        <v>1070</v>
      </c>
      <c r="F49" s="2173"/>
      <c r="G49" s="730"/>
      <c r="H49" s="730"/>
      <c r="I49" s="730"/>
      <c r="J49" s="730"/>
    </row>
    <row r="50" spans="1:10" ht="12.95" customHeight="1" thickBot="1" x14ac:dyDescent="0.25">
      <c r="A50" s="718"/>
      <c r="B50" s="901"/>
      <c r="C50" s="902"/>
      <c r="D50" s="902"/>
      <c r="E50" s="902"/>
      <c r="F50" s="974"/>
      <c r="G50" s="144"/>
      <c r="H50" s="144"/>
      <c r="I50" s="144"/>
      <c r="J50" s="144"/>
    </row>
    <row r="51" spans="1:10" ht="13.5" thickTop="1" x14ac:dyDescent="0.2"/>
  </sheetData>
  <mergeCells count="23">
    <mergeCell ref="E45:F45"/>
    <mergeCell ref="D2:E2"/>
    <mergeCell ref="D3:E3"/>
    <mergeCell ref="F2:F3"/>
    <mergeCell ref="E49:F49"/>
    <mergeCell ref="B37:D37"/>
    <mergeCell ref="B9:F9"/>
    <mergeCell ref="B10:F10"/>
    <mergeCell ref="B11:D11"/>
    <mergeCell ref="B12:D12"/>
    <mergeCell ref="E11:E12"/>
    <mergeCell ref="B13:D13"/>
    <mergeCell ref="B41:D41"/>
    <mergeCell ref="B42:F42"/>
    <mergeCell ref="E48:F48"/>
    <mergeCell ref="E44:F44"/>
    <mergeCell ref="B4:F4"/>
    <mergeCell ref="B5:F5"/>
    <mergeCell ref="E43:F43"/>
    <mergeCell ref="B6:D6"/>
    <mergeCell ref="B7:D7"/>
    <mergeCell ref="E6:F6"/>
    <mergeCell ref="E7:F7"/>
  </mergeCells>
  <phoneticPr fontId="0" type="noConversion"/>
  <printOptions horizontalCentered="1"/>
  <pageMargins left="0.34" right="0.31" top="0.74" bottom="0.56999999999999995" header="0.35" footer="0.5"/>
  <pageSetup paperSize="5" scale="95" orientation="portrait" horizontalDpi="4294967294"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B1:AB64"/>
  <sheetViews>
    <sheetView view="pageBreakPreview" topLeftCell="A7" zoomScale="60" zoomScaleNormal="110" workbookViewId="0">
      <selection activeCell="P20" sqref="P20"/>
    </sheetView>
  </sheetViews>
  <sheetFormatPr defaultColWidth="8.7109375" defaultRowHeight="12.75" x14ac:dyDescent="0.2"/>
  <cols>
    <col min="1" max="1" width="4.42578125" style="715" customWidth="1"/>
    <col min="2" max="11" width="3.5703125" style="715" customWidth="1"/>
    <col min="12" max="12" width="47.5703125" style="715" customWidth="1"/>
    <col min="13" max="13" width="8.5703125" style="715" customWidth="1"/>
    <col min="14" max="14" width="7.7109375" style="715" customWidth="1"/>
    <col min="15" max="15" width="13.5703125" style="715" customWidth="1"/>
    <col min="16" max="16" width="16.5703125" style="715" customWidth="1"/>
    <col min="17" max="17" width="14" style="715" customWidth="1"/>
    <col min="18" max="18" width="18" style="715" customWidth="1"/>
    <col min="19" max="19" width="18.28515625" style="715" bestFit="1" customWidth="1"/>
    <col min="20" max="20" width="15.85546875" style="715" customWidth="1"/>
    <col min="21" max="21" width="12.28515625" style="715" bestFit="1" customWidth="1"/>
    <col min="22" max="23" width="8.7109375" style="715"/>
    <col min="24" max="24" width="14.5703125" style="715" bestFit="1" customWidth="1"/>
    <col min="25" max="25" width="8.7109375" style="715"/>
    <col min="26" max="26" width="15.7109375" style="715" customWidth="1"/>
    <col min="27" max="16384" width="8.7109375" style="715"/>
  </cols>
  <sheetData>
    <row r="1" spans="2:19" ht="13.5" thickBot="1" x14ac:dyDescent="0.25"/>
    <row r="2" spans="2:19" s="716" customFormat="1" ht="18.95" customHeight="1" thickTop="1" x14ac:dyDescent="0.2">
      <c r="B2" s="40"/>
      <c r="C2" s="103"/>
      <c r="D2" s="103"/>
      <c r="E2" s="2217" t="s">
        <v>213</v>
      </c>
      <c r="F2" s="2218"/>
      <c r="G2" s="2218"/>
      <c r="H2" s="2218"/>
      <c r="I2" s="2218"/>
      <c r="J2" s="2218"/>
      <c r="K2" s="2218"/>
      <c r="L2" s="2218"/>
      <c r="M2" s="2218"/>
      <c r="N2" s="2218"/>
      <c r="O2" s="2218"/>
      <c r="P2" s="2219"/>
      <c r="Q2" s="2205" t="s">
        <v>274</v>
      </c>
    </row>
    <row r="3" spans="2:19" s="716" customFormat="1" ht="18.95" customHeight="1" x14ac:dyDescent="0.2">
      <c r="B3" s="41"/>
      <c r="C3" s="104"/>
      <c r="D3" s="104"/>
      <c r="E3" s="2220" t="s">
        <v>183</v>
      </c>
      <c r="F3" s="2221"/>
      <c r="G3" s="2221"/>
      <c r="H3" s="2221"/>
      <c r="I3" s="2221"/>
      <c r="J3" s="2221"/>
      <c r="K3" s="2221"/>
      <c r="L3" s="2221"/>
      <c r="M3" s="2221"/>
      <c r="N3" s="2221"/>
      <c r="O3" s="2221"/>
      <c r="P3" s="2222"/>
      <c r="Q3" s="2206"/>
    </row>
    <row r="4" spans="2:19" ht="12.95" customHeight="1" x14ac:dyDescent="0.2">
      <c r="B4" s="2207" t="s">
        <v>33</v>
      </c>
      <c r="C4" s="2208"/>
      <c r="D4" s="2208"/>
      <c r="E4" s="2208"/>
      <c r="F4" s="2208"/>
      <c r="G4" s="2208"/>
      <c r="H4" s="2209"/>
      <c r="I4" s="2209"/>
      <c r="J4" s="2209"/>
      <c r="K4" s="2209"/>
      <c r="L4" s="2209"/>
      <c r="M4" s="2209"/>
      <c r="N4" s="2209"/>
      <c r="O4" s="2209"/>
      <c r="P4" s="2209"/>
      <c r="Q4" s="2206"/>
    </row>
    <row r="5" spans="2:19" ht="12.95" customHeight="1" x14ac:dyDescent="0.2">
      <c r="B5" s="2207" t="str">
        <f>'RECAP APBD'!B5:F5</f>
        <v>Tahun Anggaran 2020</v>
      </c>
      <c r="C5" s="2208"/>
      <c r="D5" s="2208"/>
      <c r="E5" s="2208"/>
      <c r="F5" s="2208"/>
      <c r="G5" s="2208"/>
      <c r="H5" s="2209"/>
      <c r="I5" s="2209"/>
      <c r="J5" s="2209"/>
      <c r="K5" s="2209"/>
      <c r="L5" s="2209"/>
      <c r="M5" s="2209"/>
      <c r="N5" s="2209"/>
      <c r="O5" s="2209"/>
      <c r="P5" s="2209"/>
      <c r="Q5" s="2206"/>
    </row>
    <row r="6" spans="2:19" ht="12.95" customHeight="1" x14ac:dyDescent="0.2">
      <c r="B6" s="2215" t="s">
        <v>184</v>
      </c>
      <c r="C6" s="2216"/>
      <c r="D6" s="2216"/>
      <c r="E6" s="2216"/>
      <c r="F6" s="2216"/>
      <c r="G6" s="2216"/>
      <c r="H6" s="2216"/>
      <c r="I6" s="2216"/>
      <c r="J6" s="2216"/>
      <c r="K6" s="2216"/>
      <c r="L6" s="105"/>
      <c r="M6" s="2211"/>
      <c r="N6" s="2211"/>
      <c r="O6" s="2211"/>
      <c r="P6" s="2211"/>
      <c r="Q6" s="2212"/>
    </row>
    <row r="7" spans="2:19" ht="12.95" customHeight="1" x14ac:dyDescent="0.2">
      <c r="B7" s="2215" t="s">
        <v>186</v>
      </c>
      <c r="C7" s="2216"/>
      <c r="D7" s="2216"/>
      <c r="E7" s="2216"/>
      <c r="F7" s="2216"/>
      <c r="G7" s="2216"/>
      <c r="H7" s="2216"/>
      <c r="I7" s="2216"/>
      <c r="J7" s="2216"/>
      <c r="K7" s="2216"/>
      <c r="L7" s="105"/>
      <c r="M7" s="2213"/>
      <c r="N7" s="2213"/>
      <c r="O7" s="2213"/>
      <c r="P7" s="2213"/>
      <c r="Q7" s="2214"/>
    </row>
    <row r="8" spans="2:19" ht="12.95" customHeight="1" x14ac:dyDescent="0.2">
      <c r="B8" s="2207" t="s">
        <v>214</v>
      </c>
      <c r="C8" s="2208"/>
      <c r="D8" s="2208"/>
      <c r="E8" s="2208"/>
      <c r="F8" s="2208"/>
      <c r="G8" s="2208"/>
      <c r="H8" s="2209"/>
      <c r="I8" s="2209"/>
      <c r="J8" s="2209"/>
      <c r="K8" s="2209"/>
      <c r="L8" s="2209"/>
      <c r="M8" s="2209"/>
      <c r="N8" s="2209"/>
      <c r="O8" s="2209"/>
      <c r="P8" s="2209"/>
      <c r="Q8" s="2210"/>
    </row>
    <row r="9" spans="2:19" ht="12.95" customHeight="1" x14ac:dyDescent="0.2">
      <c r="B9" s="2201" t="s">
        <v>35</v>
      </c>
      <c r="C9" s="2202"/>
      <c r="D9" s="2202"/>
      <c r="E9" s="2202"/>
      <c r="F9" s="2202"/>
      <c r="G9" s="2202"/>
      <c r="H9" s="2203"/>
      <c r="I9" s="2203"/>
      <c r="J9" s="2203"/>
      <c r="K9" s="2203"/>
      <c r="L9" s="2204" t="s">
        <v>191</v>
      </c>
      <c r="M9" s="2224" t="s">
        <v>215</v>
      </c>
      <c r="N9" s="2225"/>
      <c r="O9" s="2225"/>
      <c r="P9" s="2226"/>
      <c r="Q9" s="2223" t="s">
        <v>216</v>
      </c>
    </row>
    <row r="10" spans="2:19" ht="12.95" customHeight="1" x14ac:dyDescent="0.2">
      <c r="B10" s="2201"/>
      <c r="C10" s="2202"/>
      <c r="D10" s="2202"/>
      <c r="E10" s="2202"/>
      <c r="F10" s="2202"/>
      <c r="G10" s="2202"/>
      <c r="H10" s="2203"/>
      <c r="I10" s="2203"/>
      <c r="J10" s="2203"/>
      <c r="K10" s="2203"/>
      <c r="L10" s="2204"/>
      <c r="M10" s="2204" t="s">
        <v>200</v>
      </c>
      <c r="N10" s="2204" t="s">
        <v>26</v>
      </c>
      <c r="O10" s="2204" t="s">
        <v>34</v>
      </c>
      <c r="P10" s="1036" t="s">
        <v>199</v>
      </c>
      <c r="Q10" s="2223"/>
    </row>
    <row r="11" spans="2:19" ht="12.95" customHeight="1" x14ac:dyDescent="0.2">
      <c r="B11" s="2201"/>
      <c r="C11" s="2202"/>
      <c r="D11" s="2202"/>
      <c r="E11" s="2202"/>
      <c r="F11" s="2202"/>
      <c r="G11" s="2202"/>
      <c r="H11" s="2203"/>
      <c r="I11" s="2203"/>
      <c r="J11" s="2203"/>
      <c r="K11" s="2203"/>
      <c r="L11" s="2204"/>
      <c r="M11" s="2204"/>
      <c r="N11" s="2204"/>
      <c r="O11" s="2204"/>
      <c r="P11" s="1036"/>
      <c r="Q11" s="2223"/>
    </row>
    <row r="12" spans="2:19" ht="12.95" customHeight="1" x14ac:dyDescent="0.2">
      <c r="B12" s="2201"/>
      <c r="C12" s="2202"/>
      <c r="D12" s="2202"/>
      <c r="E12" s="2202"/>
      <c r="F12" s="2202"/>
      <c r="G12" s="2202"/>
      <c r="H12" s="2203"/>
      <c r="I12" s="2203"/>
      <c r="J12" s="2203"/>
      <c r="K12" s="2203"/>
      <c r="L12" s="2204"/>
      <c r="M12" s="2204"/>
      <c r="N12" s="2204"/>
      <c r="O12" s="2204"/>
      <c r="P12" s="1037" t="s">
        <v>23</v>
      </c>
      <c r="Q12" s="2223"/>
    </row>
    <row r="13" spans="2:19" ht="12.95" customHeight="1" x14ac:dyDescent="0.2">
      <c r="B13" s="2261">
        <v>1</v>
      </c>
      <c r="C13" s="2262"/>
      <c r="D13" s="2262"/>
      <c r="E13" s="2262"/>
      <c r="F13" s="2262"/>
      <c r="G13" s="2262"/>
      <c r="H13" s="2263"/>
      <c r="I13" s="2263"/>
      <c r="J13" s="2263"/>
      <c r="K13" s="2263"/>
      <c r="L13" s="673">
        <v>2</v>
      </c>
      <c r="M13" s="672">
        <v>3</v>
      </c>
      <c r="N13" s="672">
        <v>4</v>
      </c>
      <c r="O13" s="672">
        <v>5</v>
      </c>
      <c r="P13" s="1038" t="s">
        <v>24</v>
      </c>
      <c r="Q13" s="42">
        <v>7</v>
      </c>
    </row>
    <row r="14" spans="2:19" ht="12.95" customHeight="1" x14ac:dyDescent="0.2">
      <c r="B14" s="43"/>
      <c r="C14" s="657"/>
      <c r="D14" s="657"/>
      <c r="E14" s="657"/>
      <c r="F14" s="657"/>
      <c r="G14" s="657"/>
      <c r="H14" s="44"/>
      <c r="I14" s="658"/>
      <c r="J14" s="44"/>
      <c r="K14" s="44"/>
      <c r="L14" s="671"/>
      <c r="M14" s="44"/>
      <c r="N14" s="44"/>
      <c r="O14" s="44"/>
      <c r="P14" s="308"/>
      <c r="Q14" s="905"/>
    </row>
    <row r="15" spans="2:19" ht="12.95" customHeight="1" x14ac:dyDescent="0.2">
      <c r="B15" s="1015">
        <v>1</v>
      </c>
      <c r="C15" s="1016" t="s">
        <v>440</v>
      </c>
      <c r="D15" s="1016" t="s">
        <v>142</v>
      </c>
      <c r="E15" s="1016" t="s">
        <v>41</v>
      </c>
      <c r="F15" s="1016" t="s">
        <v>41</v>
      </c>
      <c r="G15" s="1017">
        <v>5</v>
      </c>
      <c r="H15" s="1018"/>
      <c r="I15" s="926"/>
      <c r="J15" s="1018"/>
      <c r="K15" s="1018"/>
      <c r="L15" s="1030" t="s">
        <v>84</v>
      </c>
      <c r="M15" s="108"/>
      <c r="N15" s="108"/>
      <c r="O15" s="44"/>
      <c r="P15" s="1034">
        <f>P16</f>
        <v>3261401538</v>
      </c>
      <c r="Q15" s="905"/>
      <c r="R15" s="893">
        <v>3410148230</v>
      </c>
      <c r="S15" s="782"/>
    </row>
    <row r="16" spans="2:19" ht="12.95" customHeight="1" x14ac:dyDescent="0.2">
      <c r="B16" s="1015">
        <v>1</v>
      </c>
      <c r="C16" s="1016" t="s">
        <v>440</v>
      </c>
      <c r="D16" s="1016" t="s">
        <v>142</v>
      </c>
      <c r="E16" s="1016" t="s">
        <v>41</v>
      </c>
      <c r="F16" s="1016" t="s">
        <v>41</v>
      </c>
      <c r="G16" s="1017">
        <v>5</v>
      </c>
      <c r="H16" s="1018">
        <v>1</v>
      </c>
      <c r="I16" s="926"/>
      <c r="J16" s="1018"/>
      <c r="K16" s="1018"/>
      <c r="L16" s="671" t="s">
        <v>107</v>
      </c>
      <c r="M16" s="658"/>
      <c r="N16" s="658"/>
      <c r="O16" s="1051" t="s">
        <v>424</v>
      </c>
      <c r="P16" s="1034">
        <f>P18</f>
        <v>3261401538</v>
      </c>
      <c r="Q16" s="1048"/>
      <c r="R16" s="908"/>
      <c r="S16" s="721"/>
    </row>
    <row r="17" spans="2:20" ht="12.95" customHeight="1" x14ac:dyDescent="0.2">
      <c r="B17" s="1015"/>
      <c r="C17" s="1017"/>
      <c r="D17" s="1017"/>
      <c r="E17" s="1017"/>
      <c r="F17" s="1017"/>
      <c r="G17" s="1017"/>
      <c r="H17" s="1018"/>
      <c r="I17" s="926"/>
      <c r="J17" s="1018"/>
      <c r="K17" s="1018"/>
      <c r="L17" s="914"/>
      <c r="M17" s="52"/>
      <c r="N17" s="52"/>
      <c r="O17" s="44"/>
      <c r="P17" s="1035"/>
      <c r="Q17" s="1048"/>
    </row>
    <row r="18" spans="2:20" ht="12.95" customHeight="1" x14ac:dyDescent="0.2">
      <c r="B18" s="1015">
        <v>1</v>
      </c>
      <c r="C18" s="1016" t="s">
        <v>440</v>
      </c>
      <c r="D18" s="1016" t="s">
        <v>142</v>
      </c>
      <c r="E18" s="1016" t="s">
        <v>41</v>
      </c>
      <c r="F18" s="1016" t="s">
        <v>41</v>
      </c>
      <c r="G18" s="1017">
        <v>5</v>
      </c>
      <c r="H18" s="1018">
        <v>1</v>
      </c>
      <c r="I18" s="926">
        <v>1</v>
      </c>
      <c r="J18" s="1018"/>
      <c r="K18" s="1018"/>
      <c r="L18" s="671" t="s">
        <v>86</v>
      </c>
      <c r="M18" s="44"/>
      <c r="N18" s="44"/>
      <c r="O18" s="44"/>
      <c r="P18" s="1034">
        <f>P19+P32</f>
        <v>3261401538</v>
      </c>
      <c r="Q18" s="1048"/>
      <c r="S18" s="787"/>
    </row>
    <row r="19" spans="2:20" ht="12.95" customHeight="1" x14ac:dyDescent="0.2">
      <c r="B19" s="1015">
        <v>1</v>
      </c>
      <c r="C19" s="1016" t="s">
        <v>440</v>
      </c>
      <c r="D19" s="1016" t="s">
        <v>142</v>
      </c>
      <c r="E19" s="1016" t="s">
        <v>41</v>
      </c>
      <c r="F19" s="1016" t="s">
        <v>41</v>
      </c>
      <c r="G19" s="1017">
        <v>5</v>
      </c>
      <c r="H19" s="1018">
        <v>1</v>
      </c>
      <c r="I19" s="926">
        <v>1</v>
      </c>
      <c r="J19" s="1018" t="s">
        <v>80</v>
      </c>
      <c r="K19" s="1019"/>
      <c r="L19" s="671" t="s">
        <v>87</v>
      </c>
      <c r="M19" s="44"/>
      <c r="N19" s="44"/>
      <c r="O19" s="907"/>
      <c r="P19" s="1034">
        <f>SUM(P20:P30)-1</f>
        <v>1993301538</v>
      </c>
      <c r="Q19" s="1048"/>
      <c r="S19" s="908"/>
    </row>
    <row r="20" spans="2:20" ht="12.95" customHeight="1" x14ac:dyDescent="0.2">
      <c r="B20" s="1015">
        <v>1</v>
      </c>
      <c r="C20" s="1016" t="s">
        <v>440</v>
      </c>
      <c r="D20" s="1016" t="s">
        <v>142</v>
      </c>
      <c r="E20" s="1016" t="s">
        <v>41</v>
      </c>
      <c r="F20" s="1016" t="s">
        <v>41</v>
      </c>
      <c r="G20" s="1017">
        <v>5</v>
      </c>
      <c r="H20" s="1018">
        <v>1</v>
      </c>
      <c r="I20" s="926">
        <v>1</v>
      </c>
      <c r="J20" s="1018" t="s">
        <v>80</v>
      </c>
      <c r="K20" s="1018" t="s">
        <v>80</v>
      </c>
      <c r="L20" s="1031" t="s">
        <v>27</v>
      </c>
      <c r="M20" s="658">
        <v>1</v>
      </c>
      <c r="N20" s="658" t="s">
        <v>234</v>
      </c>
      <c r="O20" s="2120">
        <v>1516467179</v>
      </c>
      <c r="P20" s="1045">
        <f>O20</f>
        <v>1516467179</v>
      </c>
      <c r="Q20" s="1048"/>
      <c r="S20" s="909">
        <v>3565485.7888888889</v>
      </c>
      <c r="T20" s="2119">
        <f>S20*14*12</f>
        <v>599001612.5333333</v>
      </c>
    </row>
    <row r="21" spans="2:20" ht="12.95" customHeight="1" x14ac:dyDescent="0.2">
      <c r="B21" s="1015">
        <v>1</v>
      </c>
      <c r="C21" s="1016" t="s">
        <v>440</v>
      </c>
      <c r="D21" s="1016" t="s">
        <v>142</v>
      </c>
      <c r="E21" s="1016" t="s">
        <v>41</v>
      </c>
      <c r="F21" s="1016" t="s">
        <v>41</v>
      </c>
      <c r="G21" s="1017">
        <v>5</v>
      </c>
      <c r="H21" s="1018">
        <v>1</v>
      </c>
      <c r="I21" s="926">
        <v>1</v>
      </c>
      <c r="J21" s="1018" t="s">
        <v>80</v>
      </c>
      <c r="K21" s="1018" t="s">
        <v>82</v>
      </c>
      <c r="L21" s="1032" t="s">
        <v>99</v>
      </c>
      <c r="M21" s="658">
        <v>1</v>
      </c>
      <c r="N21" s="658" t="s">
        <v>234</v>
      </c>
      <c r="O21" s="2121">
        <v>140873620</v>
      </c>
      <c r="P21" s="1046">
        <f t="shared" ref="P21:P30" si="0">O21</f>
        <v>140873620</v>
      </c>
      <c r="Q21" s="1048"/>
      <c r="S21" s="910">
        <v>351415.96875</v>
      </c>
      <c r="T21" s="2119">
        <f t="shared" ref="T21:T27" si="1">S21*14*12</f>
        <v>59037882.75</v>
      </c>
    </row>
    <row r="22" spans="2:20" ht="12.95" customHeight="1" x14ac:dyDescent="0.2">
      <c r="B22" s="1015">
        <v>1</v>
      </c>
      <c r="C22" s="1016" t="s">
        <v>440</v>
      </c>
      <c r="D22" s="1016" t="s">
        <v>142</v>
      </c>
      <c r="E22" s="1016" t="s">
        <v>41</v>
      </c>
      <c r="F22" s="1016" t="s">
        <v>41</v>
      </c>
      <c r="G22" s="1017">
        <v>5</v>
      </c>
      <c r="H22" s="1018">
        <v>1</v>
      </c>
      <c r="I22" s="926">
        <v>1</v>
      </c>
      <c r="J22" s="1018" t="s">
        <v>80</v>
      </c>
      <c r="K22" s="1018" t="s">
        <v>83</v>
      </c>
      <c r="L22" s="1032" t="s">
        <v>17</v>
      </c>
      <c r="M22" s="670">
        <v>1</v>
      </c>
      <c r="N22" s="670" t="s">
        <v>234</v>
      </c>
      <c r="O22" s="911">
        <v>165174286</v>
      </c>
      <c r="P22" s="1052">
        <f t="shared" si="0"/>
        <v>165174286</v>
      </c>
      <c r="Q22" s="1048"/>
      <c r="S22" s="910">
        <v>182339.67013888888</v>
      </c>
      <c r="T22" s="2119">
        <f t="shared" si="1"/>
        <v>30633064.583333328</v>
      </c>
    </row>
    <row r="23" spans="2:20" ht="12.95" customHeight="1" x14ac:dyDescent="0.2">
      <c r="B23" s="1015">
        <v>1</v>
      </c>
      <c r="C23" s="1016" t="s">
        <v>440</v>
      </c>
      <c r="D23" s="1016" t="s">
        <v>142</v>
      </c>
      <c r="E23" s="1016" t="s">
        <v>41</v>
      </c>
      <c r="F23" s="1016" t="s">
        <v>41</v>
      </c>
      <c r="G23" s="1017">
        <v>5</v>
      </c>
      <c r="H23" s="1018">
        <v>1</v>
      </c>
      <c r="I23" s="926">
        <v>1</v>
      </c>
      <c r="J23" s="1018" t="s">
        <v>80</v>
      </c>
      <c r="K23" s="1019" t="s">
        <v>181</v>
      </c>
      <c r="L23" s="1032" t="s">
        <v>1</v>
      </c>
      <c r="M23" s="658">
        <v>1</v>
      </c>
      <c r="N23" s="658" t="s">
        <v>234</v>
      </c>
      <c r="O23" s="1057">
        <v>0</v>
      </c>
      <c r="P23" s="1045">
        <f t="shared" si="0"/>
        <v>0</v>
      </c>
      <c r="Q23" s="1048"/>
      <c r="S23" s="910">
        <v>10243.59375</v>
      </c>
      <c r="T23" s="2119">
        <f t="shared" si="1"/>
        <v>1720923.75</v>
      </c>
    </row>
    <row r="24" spans="2:20" ht="12.95" customHeight="1" x14ac:dyDescent="0.2">
      <c r="B24" s="1015">
        <v>1</v>
      </c>
      <c r="C24" s="1016" t="s">
        <v>440</v>
      </c>
      <c r="D24" s="1016" t="s">
        <v>142</v>
      </c>
      <c r="E24" s="1016" t="s">
        <v>41</v>
      </c>
      <c r="F24" s="1016" t="s">
        <v>41</v>
      </c>
      <c r="G24" s="1017">
        <v>5</v>
      </c>
      <c r="H24" s="1018">
        <v>1</v>
      </c>
      <c r="I24" s="926">
        <v>1</v>
      </c>
      <c r="J24" s="1018" t="s">
        <v>80</v>
      </c>
      <c r="K24" s="1019" t="s">
        <v>168</v>
      </c>
      <c r="L24" s="1032" t="s">
        <v>100</v>
      </c>
      <c r="M24" s="658">
        <v>1</v>
      </c>
      <c r="N24" s="658" t="s">
        <v>234</v>
      </c>
      <c r="O24" s="1057">
        <v>36302500</v>
      </c>
      <c r="P24" s="1046">
        <f t="shared" si="0"/>
        <v>36302500</v>
      </c>
      <c r="Q24" s="1048"/>
      <c r="S24" s="910">
        <v>159992.53472222222</v>
      </c>
      <c r="T24" s="787">
        <f t="shared" si="1"/>
        <v>26878745.833333332</v>
      </c>
    </row>
    <row r="25" spans="2:20" ht="12.95" customHeight="1" x14ac:dyDescent="0.2">
      <c r="B25" s="1015">
        <v>1</v>
      </c>
      <c r="C25" s="1016" t="s">
        <v>440</v>
      </c>
      <c r="D25" s="1016" t="s">
        <v>142</v>
      </c>
      <c r="E25" s="1016" t="s">
        <v>41</v>
      </c>
      <c r="F25" s="1016" t="s">
        <v>41</v>
      </c>
      <c r="G25" s="1017">
        <v>5</v>
      </c>
      <c r="H25" s="1018">
        <v>1</v>
      </c>
      <c r="I25" s="926">
        <v>1</v>
      </c>
      <c r="J25" s="1018" t="s">
        <v>80</v>
      </c>
      <c r="K25" s="1018" t="s">
        <v>118</v>
      </c>
      <c r="L25" s="1032" t="s">
        <v>101</v>
      </c>
      <c r="M25" s="658">
        <v>1</v>
      </c>
      <c r="N25" s="658" t="s">
        <v>234</v>
      </c>
      <c r="O25" s="1057">
        <v>71685454</v>
      </c>
      <c r="P25" s="1035">
        <f t="shared" si="0"/>
        <v>71685454</v>
      </c>
      <c r="Q25" s="1048"/>
      <c r="S25" s="715">
        <v>253690.23333333331</v>
      </c>
      <c r="T25" s="787">
        <f t="shared" si="1"/>
        <v>42619959.199999996</v>
      </c>
    </row>
    <row r="26" spans="2:20" ht="12.95" customHeight="1" x14ac:dyDescent="0.2">
      <c r="B26" s="1015">
        <v>1</v>
      </c>
      <c r="C26" s="1016" t="s">
        <v>440</v>
      </c>
      <c r="D26" s="1016" t="s">
        <v>142</v>
      </c>
      <c r="E26" s="1016" t="s">
        <v>41</v>
      </c>
      <c r="F26" s="1016" t="s">
        <v>41</v>
      </c>
      <c r="G26" s="1017">
        <v>5</v>
      </c>
      <c r="H26" s="1018">
        <v>1</v>
      </c>
      <c r="I26" s="926">
        <v>1</v>
      </c>
      <c r="J26" s="1018" t="s">
        <v>80</v>
      </c>
      <c r="K26" s="1018" t="s">
        <v>81</v>
      </c>
      <c r="L26" s="1032" t="s">
        <v>102</v>
      </c>
      <c r="M26" s="658">
        <v>1</v>
      </c>
      <c r="N26" s="658" t="s">
        <v>234</v>
      </c>
      <c r="O26" s="1057">
        <v>3179773</v>
      </c>
      <c r="P26" s="1035">
        <f t="shared" si="0"/>
        <v>3179773</v>
      </c>
      <c r="Q26" s="1048"/>
      <c r="S26" s="715">
        <v>57096.366666666669</v>
      </c>
      <c r="T26" s="787">
        <f t="shared" si="1"/>
        <v>9592189.5999999996</v>
      </c>
    </row>
    <row r="27" spans="2:20" ht="12.95" customHeight="1" x14ac:dyDescent="0.2">
      <c r="B27" s="1020">
        <v>1</v>
      </c>
      <c r="C27" s="1016" t="s">
        <v>440</v>
      </c>
      <c r="D27" s="1021" t="s">
        <v>142</v>
      </c>
      <c r="E27" s="1021" t="s">
        <v>41</v>
      </c>
      <c r="F27" s="1021" t="s">
        <v>41</v>
      </c>
      <c r="G27" s="1022">
        <v>5</v>
      </c>
      <c r="H27" s="1023">
        <v>1</v>
      </c>
      <c r="I27" s="1029">
        <v>1</v>
      </c>
      <c r="J27" s="1023" t="s">
        <v>80</v>
      </c>
      <c r="K27" s="1024" t="s">
        <v>166</v>
      </c>
      <c r="L27" s="916" t="s">
        <v>103</v>
      </c>
      <c r="M27" s="658">
        <v>1</v>
      </c>
      <c r="N27" s="658" t="s">
        <v>234</v>
      </c>
      <c r="O27" s="1057">
        <v>24186</v>
      </c>
      <c r="P27" s="1035">
        <f t="shared" si="0"/>
        <v>24186</v>
      </c>
      <c r="Q27" s="1049"/>
      <c r="S27" s="715">
        <v>60.988888888888887</v>
      </c>
      <c r="T27" s="787">
        <f t="shared" si="1"/>
        <v>10246.133333333333</v>
      </c>
    </row>
    <row r="28" spans="2:20" ht="12.95" customHeight="1" x14ac:dyDescent="0.2">
      <c r="B28" s="1020">
        <v>1</v>
      </c>
      <c r="C28" s="1016" t="s">
        <v>440</v>
      </c>
      <c r="D28" s="1021" t="s">
        <v>142</v>
      </c>
      <c r="E28" s="1021" t="s">
        <v>41</v>
      </c>
      <c r="F28" s="1021" t="s">
        <v>41</v>
      </c>
      <c r="G28" s="1022">
        <v>5</v>
      </c>
      <c r="H28" s="1023">
        <v>1</v>
      </c>
      <c r="I28" s="1029">
        <v>1</v>
      </c>
      <c r="J28" s="1023" t="s">
        <v>80</v>
      </c>
      <c r="K28" s="1024" t="s">
        <v>155</v>
      </c>
      <c r="L28" s="916" t="s">
        <v>602</v>
      </c>
      <c r="M28" s="658">
        <v>1</v>
      </c>
      <c r="N28" s="658" t="s">
        <v>234</v>
      </c>
      <c r="O28" s="913">
        <v>46097650</v>
      </c>
      <c r="P28" s="1035">
        <f t="shared" si="0"/>
        <v>46097650</v>
      </c>
      <c r="Q28" s="1049"/>
      <c r="T28" s="787"/>
    </row>
    <row r="29" spans="2:20" ht="12.95" customHeight="1" x14ac:dyDescent="0.2">
      <c r="B29" s="1020">
        <v>1</v>
      </c>
      <c r="C29" s="1016" t="s">
        <v>440</v>
      </c>
      <c r="D29" s="1021" t="s">
        <v>142</v>
      </c>
      <c r="E29" s="1021" t="s">
        <v>41</v>
      </c>
      <c r="F29" s="1021" t="s">
        <v>41</v>
      </c>
      <c r="G29" s="1022">
        <v>5</v>
      </c>
      <c r="H29" s="1023">
        <v>1</v>
      </c>
      <c r="I29" s="1029">
        <v>1</v>
      </c>
      <c r="J29" s="1023" t="s">
        <v>80</v>
      </c>
      <c r="K29" s="1023">
        <v>21</v>
      </c>
      <c r="L29" s="1032" t="s">
        <v>479</v>
      </c>
      <c r="M29" s="658">
        <v>1</v>
      </c>
      <c r="N29" s="658" t="s">
        <v>234</v>
      </c>
      <c r="O29" s="913">
        <v>3374223</v>
      </c>
      <c r="P29" s="1035">
        <f t="shared" si="0"/>
        <v>3374223</v>
      </c>
      <c r="Q29" s="1049"/>
      <c r="S29" s="715">
        <v>60.988888888888887</v>
      </c>
      <c r="T29" s="787">
        <f t="shared" ref="T29:T30" si="2">S29*14*12</f>
        <v>10246.133333333333</v>
      </c>
    </row>
    <row r="30" spans="2:20" ht="12.95" customHeight="1" x14ac:dyDescent="0.2">
      <c r="B30" s="1020">
        <v>1</v>
      </c>
      <c r="C30" s="1016" t="s">
        <v>440</v>
      </c>
      <c r="D30" s="1021" t="s">
        <v>142</v>
      </c>
      <c r="E30" s="1021" t="s">
        <v>41</v>
      </c>
      <c r="F30" s="1021" t="s">
        <v>41</v>
      </c>
      <c r="G30" s="1022">
        <v>5</v>
      </c>
      <c r="H30" s="1023">
        <v>1</v>
      </c>
      <c r="I30" s="1029">
        <v>1</v>
      </c>
      <c r="J30" s="1023" t="s">
        <v>80</v>
      </c>
      <c r="K30" s="1023">
        <v>22</v>
      </c>
      <c r="L30" s="915" t="s">
        <v>480</v>
      </c>
      <c r="M30" s="658">
        <v>1</v>
      </c>
      <c r="N30" s="658" t="s">
        <v>234</v>
      </c>
      <c r="O30" s="913">
        <v>10122668</v>
      </c>
      <c r="P30" s="1035">
        <f t="shared" si="0"/>
        <v>10122668</v>
      </c>
      <c r="Q30" s="1049"/>
      <c r="S30" s="715">
        <v>60.988888888888887</v>
      </c>
      <c r="T30" s="787">
        <f t="shared" si="2"/>
        <v>10246.133333333333</v>
      </c>
    </row>
    <row r="31" spans="2:20" ht="12.95" customHeight="1" x14ac:dyDescent="0.2">
      <c r="B31" s="1020"/>
      <c r="C31" s="1016"/>
      <c r="D31" s="1021"/>
      <c r="E31" s="1021"/>
      <c r="F31" s="1021"/>
      <c r="G31" s="1022"/>
      <c r="H31" s="1023"/>
      <c r="I31" s="1029"/>
      <c r="J31" s="1023"/>
      <c r="K31" s="1023"/>
      <c r="L31" s="1032"/>
      <c r="M31" s="658"/>
      <c r="N31" s="658"/>
      <c r="O31" s="913"/>
      <c r="P31" s="1035"/>
      <c r="Q31" s="1049"/>
      <c r="T31" s="787"/>
    </row>
    <row r="32" spans="2:20" ht="12.95" customHeight="1" x14ac:dyDescent="0.2">
      <c r="B32" s="1020">
        <v>1</v>
      </c>
      <c r="C32" s="1016" t="s">
        <v>440</v>
      </c>
      <c r="D32" s="1021" t="s">
        <v>142</v>
      </c>
      <c r="E32" s="1021" t="s">
        <v>41</v>
      </c>
      <c r="F32" s="1021" t="s">
        <v>41</v>
      </c>
      <c r="G32" s="1022">
        <v>5</v>
      </c>
      <c r="H32" s="1023">
        <v>1</v>
      </c>
      <c r="I32" s="1029">
        <v>1</v>
      </c>
      <c r="J32" s="1023" t="s">
        <v>82</v>
      </c>
      <c r="K32" s="1023"/>
      <c r="L32" s="914" t="s">
        <v>104</v>
      </c>
      <c r="M32" s="670"/>
      <c r="N32" s="52"/>
      <c r="O32" s="44"/>
      <c r="P32" s="1034">
        <f>P33+P36</f>
        <v>1268100000</v>
      </c>
      <c r="Q32" s="1049"/>
    </row>
    <row r="33" spans="2:28" ht="12.95" customHeight="1" x14ac:dyDescent="0.2">
      <c r="B33" s="1015">
        <v>1</v>
      </c>
      <c r="C33" s="1016" t="s">
        <v>440</v>
      </c>
      <c r="D33" s="1016" t="s">
        <v>142</v>
      </c>
      <c r="E33" s="1016" t="s">
        <v>41</v>
      </c>
      <c r="F33" s="1016" t="s">
        <v>41</v>
      </c>
      <c r="G33" s="1017">
        <v>5</v>
      </c>
      <c r="H33" s="1018">
        <v>1</v>
      </c>
      <c r="I33" s="926">
        <v>1</v>
      </c>
      <c r="J33" s="1018" t="s">
        <v>82</v>
      </c>
      <c r="K33" s="1018" t="s">
        <v>80</v>
      </c>
      <c r="L33" s="914" t="s">
        <v>105</v>
      </c>
      <c r="M33" s="937"/>
      <c r="N33" s="1051"/>
      <c r="O33" s="44"/>
      <c r="P33" s="1039">
        <f>SUM(P34:P34)</f>
        <v>18000000</v>
      </c>
      <c r="Q33" s="1050"/>
      <c r="S33" s="725" t="s">
        <v>352</v>
      </c>
    </row>
    <row r="34" spans="2:28" ht="12.95" customHeight="1" x14ac:dyDescent="0.2">
      <c r="B34" s="1015"/>
      <c r="C34" s="1017"/>
      <c r="D34" s="1017"/>
      <c r="E34" s="1017"/>
      <c r="F34" s="1017"/>
      <c r="G34" s="1017"/>
      <c r="H34" s="1018"/>
      <c r="I34" s="926"/>
      <c r="J34" s="1018"/>
      <c r="K34" s="1018"/>
      <c r="L34" s="916" t="s">
        <v>139</v>
      </c>
      <c r="M34" s="937">
        <v>12</v>
      </c>
      <c r="N34" s="52" t="s">
        <v>106</v>
      </c>
      <c r="O34" s="917">
        <v>1500000</v>
      </c>
      <c r="P34" s="1040">
        <f t="shared" ref="P34" si="3">O34*M34</f>
        <v>18000000</v>
      </c>
      <c r="Q34" s="1048"/>
    </row>
    <row r="35" spans="2:28" ht="12.95" customHeight="1" x14ac:dyDescent="0.2">
      <c r="B35" s="1015"/>
      <c r="C35" s="1017"/>
      <c r="D35" s="1017"/>
      <c r="E35" s="1017"/>
      <c r="F35" s="1017"/>
      <c r="G35" s="1017"/>
      <c r="H35" s="1018"/>
      <c r="I35" s="926"/>
      <c r="J35" s="1018"/>
      <c r="K35" s="926"/>
      <c r="L35" s="918"/>
      <c r="M35" s="1053"/>
      <c r="N35" s="1054"/>
      <c r="O35" s="921"/>
      <c r="P35" s="1047"/>
      <c r="Q35" s="1048"/>
      <c r="T35" s="924" t="s">
        <v>533</v>
      </c>
      <c r="V35" s="919"/>
      <c r="W35" s="920"/>
      <c r="X35" s="921"/>
      <c r="Y35" s="922"/>
      <c r="Z35" s="923"/>
    </row>
    <row r="36" spans="2:28" ht="12.95" customHeight="1" x14ac:dyDescent="0.2">
      <c r="B36" s="1015">
        <v>1</v>
      </c>
      <c r="C36" s="1016" t="s">
        <v>440</v>
      </c>
      <c r="D36" s="1016" t="s">
        <v>142</v>
      </c>
      <c r="E36" s="1016" t="s">
        <v>41</v>
      </c>
      <c r="F36" s="1016" t="s">
        <v>41</v>
      </c>
      <c r="G36" s="1017">
        <v>5</v>
      </c>
      <c r="H36" s="1018">
        <v>1</v>
      </c>
      <c r="I36" s="926">
        <v>1</v>
      </c>
      <c r="J36" s="1018" t="s">
        <v>82</v>
      </c>
      <c r="K36" s="1018" t="s">
        <v>117</v>
      </c>
      <c r="L36" s="906" t="s">
        <v>40</v>
      </c>
      <c r="M36" s="937"/>
      <c r="N36" s="52"/>
      <c r="O36" s="907"/>
      <c r="P36" s="1034">
        <f>P37</f>
        <v>1250100000</v>
      </c>
      <c r="Q36" s="1048"/>
      <c r="T36" s="721">
        <v>1</v>
      </c>
      <c r="U36" s="275">
        <v>12</v>
      </c>
    </row>
    <row r="37" spans="2:28" ht="12.95" customHeight="1" x14ac:dyDescent="0.2">
      <c r="B37" s="1015"/>
      <c r="C37" s="1017"/>
      <c r="D37" s="1017"/>
      <c r="E37" s="1017"/>
      <c r="F37" s="1017"/>
      <c r="G37" s="1017"/>
      <c r="H37" s="1018"/>
      <c r="I37" s="926"/>
      <c r="J37" s="1018"/>
      <c r="K37" s="1018"/>
      <c r="L37" s="1033" t="s">
        <v>1119</v>
      </c>
      <c r="M37" s="940">
        <v>1</v>
      </c>
      <c r="N37" s="1023" t="s">
        <v>122</v>
      </c>
      <c r="O37" s="927">
        <v>1250100000</v>
      </c>
      <c r="P37" s="1644">
        <f>O37*M37</f>
        <v>1250100000</v>
      </c>
      <c r="Q37" s="1048"/>
      <c r="S37" s="715">
        <v>1504300000</v>
      </c>
      <c r="T37" s="720">
        <v>1</v>
      </c>
      <c r="U37" s="276">
        <f>1*330</f>
        <v>330</v>
      </c>
    </row>
    <row r="38" spans="2:28" ht="12.95" customHeight="1" x14ac:dyDescent="0.2">
      <c r="B38" s="1015"/>
      <c r="C38" s="1017"/>
      <c r="D38" s="1017"/>
      <c r="E38" s="1017"/>
      <c r="F38" s="1017"/>
      <c r="G38" s="1017"/>
      <c r="H38" s="1018"/>
      <c r="I38" s="926"/>
      <c r="J38" s="1018"/>
      <c r="K38" s="1018"/>
      <c r="L38" s="912"/>
      <c r="M38" s="670"/>
      <c r="N38" s="52"/>
      <c r="O38" s="917"/>
      <c r="P38" s="1035"/>
      <c r="Q38" s="1048"/>
      <c r="S38" s="925"/>
      <c r="T38" s="720">
        <v>4</v>
      </c>
      <c r="U38" s="276">
        <f>4*330</f>
        <v>1320</v>
      </c>
    </row>
    <row r="39" spans="2:28" ht="12.95" customHeight="1" thickBot="1" x14ac:dyDescent="0.25">
      <c r="B39" s="1025"/>
      <c r="C39" s="1026"/>
      <c r="D39" s="1026"/>
      <c r="E39" s="1026"/>
      <c r="F39" s="1026"/>
      <c r="G39" s="1026"/>
      <c r="H39" s="1027"/>
      <c r="I39" s="1028"/>
      <c r="J39" s="1027"/>
      <c r="K39" s="1027"/>
      <c r="L39" s="495"/>
      <c r="M39" s="109"/>
      <c r="N39" s="109"/>
      <c r="O39" s="108"/>
      <c r="P39" s="928"/>
      <c r="Q39" s="929"/>
    </row>
    <row r="40" spans="2:28" ht="12.95" customHeight="1" thickTop="1" thickBot="1" x14ac:dyDescent="0.25">
      <c r="B40" s="2266" t="s">
        <v>199</v>
      </c>
      <c r="C40" s="2267"/>
      <c r="D40" s="2267"/>
      <c r="E40" s="2267"/>
      <c r="F40" s="2267"/>
      <c r="G40" s="2267"/>
      <c r="H40" s="2268"/>
      <c r="I40" s="2268"/>
      <c r="J40" s="2268"/>
      <c r="K40" s="2268"/>
      <c r="L40" s="2268"/>
      <c r="M40" s="2268"/>
      <c r="N40" s="2268"/>
      <c r="O40" s="676"/>
      <c r="P40" s="1041">
        <f>P15</f>
        <v>3261401538</v>
      </c>
      <c r="Q40" s="930"/>
      <c r="S40" s="720">
        <v>5219325453</v>
      </c>
    </row>
    <row r="41" spans="2:28" ht="12.95" customHeight="1" thickTop="1" x14ac:dyDescent="0.2">
      <c r="B41" s="2272"/>
      <c r="C41" s="2273"/>
      <c r="D41" s="2273"/>
      <c r="E41" s="2273"/>
      <c r="F41" s="2273"/>
      <c r="G41" s="2273"/>
      <c r="H41" s="2274"/>
      <c r="I41" s="2274"/>
      <c r="J41" s="2274"/>
      <c r="K41" s="2274"/>
      <c r="L41" s="2274"/>
      <c r="M41" s="2274"/>
      <c r="N41" s="2274"/>
      <c r="O41" s="2274"/>
      <c r="P41" s="2274"/>
      <c r="Q41" s="2275"/>
      <c r="R41" s="833"/>
      <c r="S41" s="931">
        <f>S40-P40</f>
        <v>1957923915</v>
      </c>
      <c r="V41" s="2276"/>
      <c r="W41" s="2277"/>
      <c r="X41" s="2277"/>
      <c r="Y41" s="2277"/>
      <c r="Z41" s="2277"/>
      <c r="AA41" s="2277"/>
      <c r="AB41" s="2278"/>
    </row>
    <row r="42" spans="2:28" ht="12.95" customHeight="1" x14ac:dyDescent="0.2">
      <c r="B42" s="932"/>
      <c r="C42" s="729"/>
      <c r="D42" s="729"/>
      <c r="E42" s="729"/>
      <c r="F42" s="729"/>
      <c r="G42" s="729"/>
      <c r="H42" s="729"/>
      <c r="I42" s="729"/>
      <c r="J42" s="729"/>
      <c r="K42" s="729"/>
      <c r="L42" s="729"/>
      <c r="M42" s="2264" t="str">
        <f>'RECAP APBD'!E43</f>
        <v>Banda Aceh,                   2020</v>
      </c>
      <c r="N42" s="2264"/>
      <c r="O42" s="2264"/>
      <c r="P42" s="2264"/>
      <c r="Q42" s="2265"/>
      <c r="R42" s="170"/>
      <c r="S42" s="730"/>
      <c r="V42" s="2279"/>
      <c r="W42" s="2280"/>
      <c r="X42" s="2280"/>
      <c r="Y42" s="2280"/>
      <c r="Z42" s="2280"/>
      <c r="AA42" s="2280"/>
      <c r="AB42" s="2281"/>
    </row>
    <row r="43" spans="2:28" ht="12.95" customHeight="1" x14ac:dyDescent="0.2">
      <c r="B43" s="170"/>
      <c r="C43" s="131"/>
      <c r="D43" s="131"/>
      <c r="E43" s="131"/>
      <c r="F43" s="131"/>
      <c r="G43" s="131"/>
      <c r="H43" s="131"/>
      <c r="I43" s="131"/>
      <c r="J43" s="131"/>
      <c r="K43" s="131"/>
      <c r="L43" s="131"/>
      <c r="M43" s="2172" t="str">
        <f>'RECAP APBD'!E44</f>
        <v>Pengguna Anggaran</v>
      </c>
      <c r="N43" s="2172"/>
      <c r="O43" s="2172"/>
      <c r="P43" s="2172"/>
      <c r="Q43" s="2173"/>
      <c r="R43" s="145"/>
      <c r="S43" s="730"/>
      <c r="V43" s="659"/>
      <c r="W43" s="660"/>
      <c r="X43" s="660"/>
      <c r="Y43" s="660"/>
      <c r="Z43" s="660"/>
      <c r="AA43" s="660"/>
      <c r="AB43" s="733"/>
    </row>
    <row r="44" spans="2:28" ht="12.95" customHeight="1" x14ac:dyDescent="0.2">
      <c r="B44" s="170"/>
      <c r="C44" s="131"/>
      <c r="D44" s="131"/>
      <c r="E44" s="131"/>
      <c r="F44" s="131"/>
      <c r="G44" s="131"/>
      <c r="H44" s="131"/>
      <c r="I44" s="131"/>
      <c r="J44" s="131"/>
      <c r="K44" s="131"/>
      <c r="L44" s="131"/>
      <c r="M44" s="2172" t="str">
        <f>'RECAP APBD'!E45</f>
        <v>Satuan Kerja Perangkat Daerah</v>
      </c>
      <c r="N44" s="2172"/>
      <c r="O44" s="2172"/>
      <c r="P44" s="2172"/>
      <c r="Q44" s="2173"/>
      <c r="R44" s="145"/>
      <c r="S44" s="730"/>
      <c r="V44" s="2282"/>
      <c r="W44" s="2283"/>
      <c r="X44" s="2283"/>
      <c r="Y44" s="2283"/>
      <c r="Z44" s="2283"/>
      <c r="AA44" s="2283"/>
      <c r="AB44" s="2284"/>
    </row>
    <row r="45" spans="2:28" ht="12.95" customHeight="1" x14ac:dyDescent="0.2">
      <c r="B45" s="170"/>
      <c r="C45" s="131"/>
      <c r="D45" s="131"/>
      <c r="E45" s="131"/>
      <c r="F45" s="131"/>
      <c r="G45" s="131"/>
      <c r="H45" s="131"/>
      <c r="I45" s="131"/>
      <c r="J45" s="131"/>
      <c r="K45" s="131"/>
      <c r="L45" s="131"/>
      <c r="M45" s="144"/>
      <c r="N45" s="144"/>
      <c r="O45" s="144"/>
      <c r="P45" s="1055"/>
      <c r="Q45" s="1056"/>
      <c r="R45" s="833"/>
      <c r="S45" s="730"/>
      <c r="V45" s="2285"/>
      <c r="W45" s="2286"/>
      <c r="X45" s="2286"/>
      <c r="Y45" s="2286"/>
      <c r="Z45" s="2286"/>
      <c r="AA45" s="2286"/>
      <c r="AB45" s="2287"/>
    </row>
    <row r="46" spans="2:28" ht="12.95" customHeight="1" x14ac:dyDescent="0.2">
      <c r="B46" s="170"/>
      <c r="C46" s="131"/>
      <c r="D46" s="131"/>
      <c r="E46" s="131"/>
      <c r="F46" s="131"/>
      <c r="G46" s="131"/>
      <c r="H46" s="131"/>
      <c r="I46" s="131"/>
      <c r="J46" s="131"/>
      <c r="K46" s="131"/>
      <c r="L46" s="131"/>
      <c r="M46" s="144"/>
      <c r="N46" s="144"/>
      <c r="O46" s="144"/>
      <c r="P46" s="1055"/>
      <c r="Q46" s="1056"/>
      <c r="R46" s="833"/>
      <c r="S46" s="730"/>
      <c r="V46" s="2288"/>
      <c r="W46" s="2289"/>
      <c r="X46" s="2289"/>
      <c r="Y46" s="2289"/>
      <c r="Z46" s="2289"/>
      <c r="AA46" s="2289"/>
      <c r="AB46" s="2290"/>
    </row>
    <row r="47" spans="2:28" ht="12.95" customHeight="1" x14ac:dyDescent="0.2">
      <c r="B47" s="170"/>
      <c r="C47" s="131"/>
      <c r="D47" s="131"/>
      <c r="E47" s="131"/>
      <c r="F47" s="131"/>
      <c r="G47" s="131"/>
      <c r="H47" s="131"/>
      <c r="I47" s="131"/>
      <c r="J47" s="131"/>
      <c r="K47" s="131"/>
      <c r="L47" s="131"/>
      <c r="M47" s="2199" t="str">
        <f>'RECAP APBD'!E48</f>
        <v>Bustami, SH</v>
      </c>
      <c r="N47" s="2199"/>
      <c r="O47" s="2199"/>
      <c r="P47" s="2199"/>
      <c r="Q47" s="2200"/>
      <c r="R47" s="148"/>
      <c r="S47" s="730"/>
      <c r="V47" s="2285"/>
      <c r="W47" s="2286"/>
      <c r="X47" s="2286"/>
      <c r="Y47" s="2286"/>
      <c r="Z47" s="2286"/>
      <c r="AA47" s="2286"/>
      <c r="AB47" s="2287"/>
    </row>
    <row r="48" spans="2:28" ht="12.95" customHeight="1" thickBot="1" x14ac:dyDescent="0.25">
      <c r="B48" s="731"/>
      <c r="C48" s="732"/>
      <c r="D48" s="732"/>
      <c r="E48" s="732"/>
      <c r="F48" s="732"/>
      <c r="G48" s="732"/>
      <c r="H48" s="732"/>
      <c r="I48" s="732"/>
      <c r="J48" s="732"/>
      <c r="K48" s="732"/>
      <c r="L48" s="732"/>
      <c r="M48" s="2191" t="str">
        <f>'RECAP APBD'!E49</f>
        <v>Pembina Utama Muda / Nip. 19630824 198703 1 004</v>
      </c>
      <c r="N48" s="2191"/>
      <c r="O48" s="2191"/>
      <c r="P48" s="2191"/>
      <c r="Q48" s="2254"/>
      <c r="R48" s="186"/>
      <c r="S48" s="730"/>
      <c r="V48" s="2227"/>
      <c r="W48" s="2228"/>
      <c r="X48" s="2228"/>
      <c r="Y48" s="2228"/>
      <c r="Z48" s="2228"/>
      <c r="AA48" s="2228"/>
      <c r="AB48" s="2229"/>
    </row>
    <row r="49" spans="2:22" ht="12.95" customHeight="1" x14ac:dyDescent="0.2">
      <c r="B49" s="2269" t="s">
        <v>201</v>
      </c>
      <c r="C49" s="2270"/>
      <c r="D49" s="2270"/>
      <c r="E49" s="2270"/>
      <c r="F49" s="2270"/>
      <c r="G49" s="2270"/>
      <c r="H49" s="2271"/>
      <c r="I49" s="2271"/>
      <c r="J49" s="2271"/>
      <c r="K49" s="2271"/>
      <c r="L49" s="2271"/>
      <c r="M49" s="675"/>
      <c r="N49" s="2228"/>
      <c r="O49" s="2228"/>
      <c r="P49" s="2228"/>
      <c r="Q49" s="2229"/>
    </row>
    <row r="50" spans="2:22" ht="12.95" customHeight="1" x14ac:dyDescent="0.2">
      <c r="B50" s="2269" t="s">
        <v>202</v>
      </c>
      <c r="C50" s="2270"/>
      <c r="D50" s="2270"/>
      <c r="E50" s="2270"/>
      <c r="F50" s="2270"/>
      <c r="G50" s="2270"/>
      <c r="H50" s="2271"/>
      <c r="I50" s="2271"/>
      <c r="J50" s="2271"/>
      <c r="K50" s="2271"/>
      <c r="L50" s="2271"/>
      <c r="M50" s="675"/>
      <c r="N50" s="2306"/>
      <c r="O50" s="2306"/>
      <c r="P50" s="2306"/>
      <c r="Q50" s="2307"/>
    </row>
    <row r="51" spans="2:22" ht="12.95" customHeight="1" x14ac:dyDescent="0.2">
      <c r="B51" s="2269" t="s">
        <v>203</v>
      </c>
      <c r="C51" s="2270"/>
      <c r="D51" s="2270"/>
      <c r="E51" s="2270"/>
      <c r="F51" s="2270"/>
      <c r="G51" s="2270"/>
      <c r="H51" s="2271"/>
      <c r="I51" s="2271"/>
      <c r="J51" s="2271"/>
      <c r="K51" s="2271"/>
      <c r="L51" s="2271"/>
      <c r="M51" s="675"/>
      <c r="N51" s="2306"/>
      <c r="O51" s="2306"/>
      <c r="P51" s="2306"/>
      <c r="Q51" s="2307"/>
    </row>
    <row r="52" spans="2:22" ht="12.95" customHeight="1" x14ac:dyDescent="0.2">
      <c r="B52" s="2257" t="s">
        <v>204</v>
      </c>
      <c r="C52" s="2258"/>
      <c r="D52" s="2258"/>
      <c r="E52" s="2258"/>
      <c r="F52" s="2258"/>
      <c r="G52" s="2258"/>
      <c r="H52" s="2259"/>
      <c r="I52" s="2259"/>
      <c r="J52" s="2259"/>
      <c r="K52" s="2259"/>
      <c r="L52" s="2259"/>
      <c r="M52" s="2259"/>
      <c r="N52" s="2259"/>
      <c r="O52" s="2259"/>
      <c r="P52" s="2259"/>
      <c r="Q52" s="2260"/>
    </row>
    <row r="53" spans="2:22" ht="12.95" customHeight="1" x14ac:dyDescent="0.2">
      <c r="B53" s="2302" t="s">
        <v>205</v>
      </c>
      <c r="C53" s="2303"/>
      <c r="D53" s="2303"/>
      <c r="E53" s="2303"/>
      <c r="F53" s="2303"/>
      <c r="G53" s="2303"/>
      <c r="H53" s="2303"/>
      <c r="I53" s="2303"/>
      <c r="J53" s="2303"/>
      <c r="K53" s="2303"/>
      <c r="L53" s="2303"/>
      <c r="M53" s="2303"/>
      <c r="N53" s="2303"/>
      <c r="O53" s="2303"/>
      <c r="P53" s="2303"/>
      <c r="Q53" s="2304"/>
    </row>
    <row r="54" spans="2:22" ht="12.95" customHeight="1" x14ac:dyDescent="0.2">
      <c r="B54" s="2257" t="s">
        <v>206</v>
      </c>
      <c r="C54" s="2258"/>
      <c r="D54" s="2258"/>
      <c r="E54" s="2258"/>
      <c r="F54" s="2258"/>
      <c r="G54" s="2258"/>
      <c r="H54" s="2259"/>
      <c r="I54" s="2259"/>
      <c r="J54" s="2259"/>
      <c r="K54" s="2259"/>
      <c r="L54" s="2259"/>
      <c r="M54" s="2259"/>
      <c r="N54" s="2259"/>
      <c r="O54" s="2259"/>
      <c r="P54" s="2259"/>
      <c r="Q54" s="2260"/>
    </row>
    <row r="55" spans="2:22" ht="12.95" customHeight="1" x14ac:dyDescent="0.2">
      <c r="B55" s="2207" t="s">
        <v>25</v>
      </c>
      <c r="C55" s="2208"/>
      <c r="D55" s="2208"/>
      <c r="E55" s="2208"/>
      <c r="F55" s="2208"/>
      <c r="G55" s="2208"/>
      <c r="H55" s="2209"/>
      <c r="I55" s="2209"/>
      <c r="J55" s="2209"/>
      <c r="K55" s="2209"/>
      <c r="L55" s="2209"/>
      <c r="M55" s="2209"/>
      <c r="N55" s="2209"/>
      <c r="O55" s="2209"/>
      <c r="P55" s="2209"/>
      <c r="Q55" s="2210"/>
    </row>
    <row r="56" spans="2:22" ht="12.95" customHeight="1" thickBot="1" x14ac:dyDescent="0.25">
      <c r="B56" s="2308" t="s">
        <v>207</v>
      </c>
      <c r="C56" s="2309"/>
      <c r="D56" s="2309"/>
      <c r="E56" s="2309"/>
      <c r="F56" s="2309"/>
      <c r="G56" s="2309"/>
      <c r="H56" s="2310"/>
      <c r="I56" s="2310"/>
      <c r="J56" s="2230"/>
      <c r="K56" s="2230"/>
      <c r="L56" s="2230"/>
      <c r="M56" s="2230"/>
      <c r="N56" s="2305"/>
      <c r="O56" s="674"/>
      <c r="P56" s="2295" t="s">
        <v>211</v>
      </c>
      <c r="Q56" s="2296"/>
    </row>
    <row r="57" spans="2:22" ht="12.95" customHeight="1" x14ac:dyDescent="0.2">
      <c r="B57" s="2236">
        <v>1</v>
      </c>
      <c r="C57" s="2237"/>
      <c r="D57" s="2237"/>
      <c r="E57" s="2237"/>
      <c r="F57" s="2237"/>
      <c r="G57" s="2237"/>
      <c r="H57" s="2238"/>
      <c r="I57" s="2238"/>
      <c r="J57" s="2248"/>
      <c r="K57" s="2248"/>
      <c r="L57" s="2248"/>
      <c r="M57" s="2291"/>
      <c r="N57" s="2292"/>
      <c r="O57" s="1042"/>
      <c r="P57" s="2255" t="s">
        <v>15</v>
      </c>
      <c r="Q57" s="2256"/>
    </row>
    <row r="58" spans="2:22" ht="12.95" customHeight="1" x14ac:dyDescent="0.2">
      <c r="B58" s="2239">
        <v>2</v>
      </c>
      <c r="C58" s="2240"/>
      <c r="D58" s="2240"/>
      <c r="E58" s="2240"/>
      <c r="F58" s="2240"/>
      <c r="G58" s="2240"/>
      <c r="H58" s="2241"/>
      <c r="I58" s="2241"/>
      <c r="J58" s="933"/>
      <c r="K58" s="933"/>
      <c r="L58" s="933"/>
      <c r="M58" s="2246"/>
      <c r="N58" s="2247"/>
      <c r="O58" s="938"/>
      <c r="P58" s="2250" t="s">
        <v>16</v>
      </c>
      <c r="Q58" s="2251"/>
    </row>
    <row r="59" spans="2:22" ht="12.95" customHeight="1" x14ac:dyDescent="0.2">
      <c r="B59" s="2233">
        <v>3</v>
      </c>
      <c r="C59" s="2234"/>
      <c r="D59" s="2234"/>
      <c r="E59" s="2234"/>
      <c r="F59" s="2234"/>
      <c r="G59" s="2234"/>
      <c r="H59" s="2235"/>
      <c r="I59" s="2235"/>
      <c r="J59" s="934"/>
      <c r="K59" s="934"/>
      <c r="L59" s="934"/>
      <c r="M59" s="2246"/>
      <c r="N59" s="2247"/>
      <c r="O59" s="938"/>
      <c r="P59" s="2244" t="s">
        <v>488</v>
      </c>
      <c r="Q59" s="2245"/>
    </row>
    <row r="60" spans="2:22" ht="12.95" customHeight="1" x14ac:dyDescent="0.2">
      <c r="B60" s="2239">
        <v>4</v>
      </c>
      <c r="C60" s="2240"/>
      <c r="D60" s="2240"/>
      <c r="E60" s="2240"/>
      <c r="F60" s="2240"/>
      <c r="G60" s="2240"/>
      <c r="H60" s="2241"/>
      <c r="I60" s="2241"/>
      <c r="J60" s="2249"/>
      <c r="K60" s="2249"/>
      <c r="L60" s="2249"/>
      <c r="M60" s="2252"/>
      <c r="N60" s="2253"/>
      <c r="O60" s="938"/>
      <c r="P60" s="2250" t="s">
        <v>489</v>
      </c>
      <c r="Q60" s="2251"/>
    </row>
    <row r="61" spans="2:22" ht="12.95" customHeight="1" x14ac:dyDescent="0.2">
      <c r="B61" s="2242">
        <v>5</v>
      </c>
      <c r="C61" s="2243"/>
      <c r="D61" s="2243"/>
      <c r="E61" s="2243"/>
      <c r="F61" s="2243"/>
      <c r="G61" s="2243"/>
      <c r="H61" s="2243"/>
      <c r="I61" s="2243"/>
      <c r="J61" s="2249"/>
      <c r="K61" s="2249"/>
      <c r="L61" s="2249"/>
      <c r="M61" s="2252"/>
      <c r="N61" s="2253"/>
      <c r="O61" s="1043"/>
      <c r="P61" s="2297" t="s">
        <v>492</v>
      </c>
      <c r="Q61" s="2298"/>
      <c r="R61" s="935"/>
      <c r="S61" s="936"/>
      <c r="T61" s="936"/>
      <c r="U61" s="936"/>
      <c r="V61" s="936"/>
    </row>
    <row r="62" spans="2:22" ht="12.95" customHeight="1" x14ac:dyDescent="0.2">
      <c r="B62" s="2242">
        <v>6</v>
      </c>
      <c r="C62" s="2243"/>
      <c r="D62" s="2243"/>
      <c r="E62" s="2243"/>
      <c r="F62" s="2243"/>
      <c r="G62" s="2243"/>
      <c r="H62" s="2243"/>
      <c r="I62" s="2243"/>
      <c r="J62" s="2249"/>
      <c r="K62" s="2249"/>
      <c r="L62" s="2249"/>
      <c r="M62" s="2252"/>
      <c r="N62" s="2253"/>
      <c r="O62" s="1043"/>
      <c r="P62" s="2297" t="s">
        <v>491</v>
      </c>
      <c r="Q62" s="2298"/>
      <c r="R62" s="935"/>
      <c r="S62" s="936"/>
      <c r="T62" s="936"/>
      <c r="U62" s="936"/>
      <c r="V62" s="936"/>
    </row>
    <row r="63" spans="2:22" ht="12.95" customHeight="1" thickBot="1" x14ac:dyDescent="0.25">
      <c r="B63" s="2231">
        <v>7</v>
      </c>
      <c r="C63" s="2232"/>
      <c r="D63" s="2232"/>
      <c r="E63" s="2232"/>
      <c r="F63" s="2232"/>
      <c r="G63" s="2232"/>
      <c r="H63" s="2232"/>
      <c r="I63" s="2232"/>
      <c r="J63" s="2301"/>
      <c r="K63" s="2301"/>
      <c r="L63" s="2301"/>
      <c r="M63" s="2299"/>
      <c r="N63" s="2300"/>
      <c r="O63" s="1044"/>
      <c r="P63" s="2293" t="s">
        <v>490</v>
      </c>
      <c r="Q63" s="2294"/>
      <c r="R63" s="935"/>
      <c r="S63" s="936"/>
      <c r="T63" s="936"/>
      <c r="U63" s="936"/>
      <c r="V63" s="936"/>
    </row>
    <row r="64" spans="2:22" ht="13.5" thickTop="1" x14ac:dyDescent="0.2"/>
  </sheetData>
  <mergeCells count="72">
    <mergeCell ref="P63:Q63"/>
    <mergeCell ref="P56:Q56"/>
    <mergeCell ref="N49:Q49"/>
    <mergeCell ref="B54:Q54"/>
    <mergeCell ref="P61:Q61"/>
    <mergeCell ref="B55:Q55"/>
    <mergeCell ref="M63:N63"/>
    <mergeCell ref="M62:N62"/>
    <mergeCell ref="J63:L63"/>
    <mergeCell ref="B53:Q53"/>
    <mergeCell ref="P62:Q62"/>
    <mergeCell ref="M56:N56"/>
    <mergeCell ref="N50:Q50"/>
    <mergeCell ref="N51:Q51"/>
    <mergeCell ref="B56:I56"/>
    <mergeCell ref="J62:L62"/>
    <mergeCell ref="M61:N61"/>
    <mergeCell ref="J61:L61"/>
    <mergeCell ref="M57:N57"/>
    <mergeCell ref="B50:L50"/>
    <mergeCell ref="B51:L51"/>
    <mergeCell ref="B58:I58"/>
    <mergeCell ref="V41:AB41"/>
    <mergeCell ref="V42:AB42"/>
    <mergeCell ref="V44:AB44"/>
    <mergeCell ref="V45:AB45"/>
    <mergeCell ref="V47:AB47"/>
    <mergeCell ref="V46:AB46"/>
    <mergeCell ref="P58:Q58"/>
    <mergeCell ref="M58:N58"/>
    <mergeCell ref="P57:Q57"/>
    <mergeCell ref="B52:Q52"/>
    <mergeCell ref="B13:K13"/>
    <mergeCell ref="M42:Q42"/>
    <mergeCell ref="M43:Q43"/>
    <mergeCell ref="M44:Q44"/>
    <mergeCell ref="M47:Q47"/>
    <mergeCell ref="B40:N40"/>
    <mergeCell ref="B49:L49"/>
    <mergeCell ref="B41:Q41"/>
    <mergeCell ref="N10:N12"/>
    <mergeCell ref="V48:AB48"/>
    <mergeCell ref="J56:L56"/>
    <mergeCell ref="B63:I63"/>
    <mergeCell ref="B59:I59"/>
    <mergeCell ref="B57:I57"/>
    <mergeCell ref="B60:I60"/>
    <mergeCell ref="B61:I61"/>
    <mergeCell ref="B62:I62"/>
    <mergeCell ref="P59:Q59"/>
    <mergeCell ref="M59:N59"/>
    <mergeCell ref="J57:L57"/>
    <mergeCell ref="J60:L60"/>
    <mergeCell ref="P60:Q60"/>
    <mergeCell ref="M60:N60"/>
    <mergeCell ref="M48:Q48"/>
    <mergeCell ref="B9:K12"/>
    <mergeCell ref="L9:L12"/>
    <mergeCell ref="Q2:Q5"/>
    <mergeCell ref="B8:Q8"/>
    <mergeCell ref="M6:Q6"/>
    <mergeCell ref="M7:Q7"/>
    <mergeCell ref="B4:P4"/>
    <mergeCell ref="B5:P5"/>
    <mergeCell ref="B6:K6"/>
    <mergeCell ref="B7:K7"/>
    <mergeCell ref="E2:P2"/>
    <mergeCell ref="E3:P3"/>
    <mergeCell ref="Q9:Q12"/>
    <mergeCell ref="M10:M12"/>
    <mergeCell ref="O10:O12"/>
    <mergeCell ref="M9:P9"/>
  </mergeCells>
  <phoneticPr fontId="0" type="noConversion"/>
  <hyperlinks>
    <hyperlink ref="P33" r:id="rId1" display="=@Sum(Q79:R84)"/>
  </hyperlinks>
  <pageMargins left="0.79" right="0.27559055118110198" top="0.6" bottom="0.84" header="0.3" footer="0.81"/>
  <pageSetup paperSize="5" scale="64" orientation="portrait" horizontalDpi="4294967294" r:id="rId2"/>
  <headerFooter alignWithMargins="0"/>
  <colBreaks count="1" manualBreakCount="1">
    <brk id="17" max="1048575" man="1"/>
  </col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B1:X73"/>
  <sheetViews>
    <sheetView view="pageBreakPreview" topLeftCell="E29" zoomScaleSheetLayoutView="100" workbookViewId="0">
      <selection activeCell="N43" sqref="N43"/>
    </sheetView>
  </sheetViews>
  <sheetFormatPr defaultColWidth="8.7109375" defaultRowHeight="12.75" x14ac:dyDescent="0.2"/>
  <cols>
    <col min="1" max="1" width="8.7109375" style="715"/>
    <col min="2" max="3" width="3.28515625" style="715" customWidth="1"/>
    <col min="4" max="4" width="40.7109375" style="715" customWidth="1"/>
    <col min="5" max="6" width="3.42578125" style="715" customWidth="1"/>
    <col min="7" max="7" width="45.42578125" style="715" customWidth="1"/>
    <col min="8" max="8" width="9" style="715" customWidth="1"/>
    <col min="9" max="9" width="4.140625" style="715" customWidth="1"/>
    <col min="10" max="10" width="12.5703125" style="715" customWidth="1"/>
    <col min="11" max="11" width="10.7109375" style="715" customWidth="1"/>
    <col min="12" max="12" width="17.140625" style="715" customWidth="1"/>
    <col min="13" max="13" width="16.140625" style="715" customWidth="1"/>
    <col min="14" max="14" width="17.28515625" style="715" customWidth="1"/>
    <col min="15" max="16" width="3.28515625" style="715" customWidth="1"/>
    <col min="17" max="17" width="10" style="715" customWidth="1"/>
    <col min="18" max="18" width="10.28515625" style="715" customWidth="1"/>
    <col min="19" max="19" width="14.5703125" style="715" bestFit="1" customWidth="1"/>
    <col min="20" max="20" width="18.28515625" style="715" customWidth="1"/>
    <col min="21" max="21" width="18.42578125" style="715" customWidth="1"/>
    <col min="22" max="22" width="15" style="715" bestFit="1" customWidth="1"/>
    <col min="23" max="16384" width="8.7109375" style="715"/>
  </cols>
  <sheetData>
    <row r="1" spans="2:21" ht="13.5" thickBot="1" x14ac:dyDescent="0.25"/>
    <row r="2" spans="2:21" s="716" customFormat="1" ht="18.95" customHeight="1" thickTop="1" x14ac:dyDescent="0.2">
      <c r="B2" s="2368"/>
      <c r="C2" s="2369"/>
      <c r="D2" s="2369"/>
      <c r="E2" s="2174" t="s">
        <v>182</v>
      </c>
      <c r="F2" s="2174"/>
      <c r="G2" s="2174"/>
      <c r="H2" s="2174"/>
      <c r="I2" s="2174"/>
      <c r="J2" s="2174"/>
      <c r="K2" s="2174"/>
      <c r="L2" s="2174"/>
      <c r="M2" s="2174"/>
      <c r="N2" s="2174"/>
      <c r="O2" s="2175"/>
      <c r="P2" s="2394" t="s">
        <v>68</v>
      </c>
      <c r="Q2" s="2174"/>
      <c r="R2" s="2395"/>
    </row>
    <row r="3" spans="2:21" s="716" customFormat="1" ht="18.95" customHeight="1" thickBot="1" x14ac:dyDescent="0.25">
      <c r="B3" s="2370"/>
      <c r="C3" s="2371"/>
      <c r="D3" s="2371"/>
      <c r="E3" s="2176" t="s">
        <v>183</v>
      </c>
      <c r="F3" s="2176"/>
      <c r="G3" s="2176"/>
      <c r="H3" s="2176"/>
      <c r="I3" s="2176"/>
      <c r="J3" s="2176"/>
      <c r="K3" s="2176"/>
      <c r="L3" s="2176"/>
      <c r="M3" s="2176"/>
      <c r="N3" s="2176"/>
      <c r="O3" s="2177"/>
      <c r="P3" s="2396"/>
      <c r="Q3" s="2397"/>
      <c r="R3" s="2398"/>
    </row>
    <row r="4" spans="2:21" ht="12.95" customHeight="1" x14ac:dyDescent="0.2">
      <c r="B4" s="2161" t="s">
        <v>33</v>
      </c>
      <c r="C4" s="2162"/>
      <c r="D4" s="2162"/>
      <c r="E4" s="2162"/>
      <c r="F4" s="2162"/>
      <c r="G4" s="2162"/>
      <c r="H4" s="2162"/>
      <c r="I4" s="2162"/>
      <c r="J4" s="2162"/>
      <c r="K4" s="2162"/>
      <c r="L4" s="2162"/>
      <c r="M4" s="2162"/>
      <c r="N4" s="2162"/>
      <c r="O4" s="2372"/>
      <c r="P4" s="2408" t="s">
        <v>238</v>
      </c>
      <c r="Q4" s="2409"/>
      <c r="R4" s="2410"/>
    </row>
    <row r="5" spans="2:21" ht="12.95" customHeight="1" thickBot="1" x14ac:dyDescent="0.25">
      <c r="B5" s="2373" t="str">
        <f>'RECAP APBD'!B5:F5</f>
        <v>Tahun Anggaran 2020</v>
      </c>
      <c r="C5" s="2374"/>
      <c r="D5" s="2374"/>
      <c r="E5" s="2374"/>
      <c r="F5" s="2374"/>
      <c r="G5" s="2374"/>
      <c r="H5" s="2374"/>
      <c r="I5" s="2374"/>
      <c r="J5" s="2374"/>
      <c r="K5" s="2374"/>
      <c r="L5" s="2374"/>
      <c r="M5" s="2374"/>
      <c r="N5" s="2374"/>
      <c r="O5" s="2375"/>
      <c r="P5" s="2411"/>
      <c r="Q5" s="2412"/>
      <c r="R5" s="2413"/>
    </row>
    <row r="6" spans="2:21" ht="12.95" customHeight="1" x14ac:dyDescent="0.2">
      <c r="B6" s="2376" t="s">
        <v>184</v>
      </c>
      <c r="C6" s="2377"/>
      <c r="D6" s="2377"/>
      <c r="E6" s="2377"/>
      <c r="F6" s="2377"/>
      <c r="G6" s="2377"/>
      <c r="H6" s="2377"/>
      <c r="I6" s="2346" t="s">
        <v>439</v>
      </c>
      <c r="J6" s="2346"/>
      <c r="K6" s="2346"/>
      <c r="L6" s="2346"/>
      <c r="M6" s="2346"/>
      <c r="N6" s="2346"/>
      <c r="O6" s="2346"/>
      <c r="P6" s="2346"/>
      <c r="Q6" s="2346"/>
      <c r="R6" s="2347"/>
    </row>
    <row r="7" spans="2:21" ht="12.95" customHeight="1" x14ac:dyDescent="0.2">
      <c r="B7" s="2378" t="s">
        <v>218</v>
      </c>
      <c r="C7" s="2379"/>
      <c r="D7" s="2379"/>
      <c r="E7" s="2379"/>
      <c r="F7" s="2379"/>
      <c r="G7" s="2379"/>
      <c r="H7" s="2379"/>
      <c r="I7" s="2355" t="s">
        <v>467</v>
      </c>
      <c r="J7" s="2355"/>
      <c r="K7" s="2355"/>
      <c r="L7" s="2355"/>
      <c r="M7" s="2355"/>
      <c r="N7" s="2355"/>
      <c r="O7" s="2355"/>
      <c r="P7" s="2355"/>
      <c r="Q7" s="2355"/>
      <c r="R7" s="2356"/>
    </row>
    <row r="8" spans="2:21" ht="12.95" customHeight="1" x14ac:dyDescent="0.2">
      <c r="B8" s="2380" t="s">
        <v>232</v>
      </c>
      <c r="C8" s="2381"/>
      <c r="D8" s="2381"/>
      <c r="E8" s="2381"/>
      <c r="F8" s="2381"/>
      <c r="G8" s="2381"/>
      <c r="H8" s="2381"/>
      <c r="I8" s="2381"/>
      <c r="J8" s="2381"/>
      <c r="K8" s="2381"/>
      <c r="L8" s="2381"/>
      <c r="M8" s="2381"/>
      <c r="N8" s="2381"/>
      <c r="O8" s="2381"/>
      <c r="P8" s="2381"/>
      <c r="Q8" s="2381"/>
      <c r="R8" s="2382"/>
    </row>
    <row r="9" spans="2:21" s="836" customFormat="1" ht="12.95" customHeight="1" x14ac:dyDescent="0.2">
      <c r="B9" s="2383" t="s">
        <v>233</v>
      </c>
      <c r="C9" s="2316"/>
      <c r="D9" s="2316"/>
      <c r="E9" s="2316"/>
      <c r="F9" s="2316"/>
      <c r="G9" s="2384"/>
      <c r="H9" s="2348" t="s">
        <v>191</v>
      </c>
      <c r="I9" s="2349"/>
      <c r="J9" s="2311" t="s">
        <v>239</v>
      </c>
      <c r="K9" s="2311" t="s">
        <v>29</v>
      </c>
      <c r="L9" s="2315" t="s">
        <v>199</v>
      </c>
      <c r="M9" s="2316"/>
      <c r="N9" s="2316"/>
      <c r="O9" s="2316"/>
      <c r="P9" s="2316"/>
      <c r="Q9" s="2316"/>
      <c r="R9" s="2354"/>
    </row>
    <row r="10" spans="2:21" s="836" customFormat="1" ht="12.95" customHeight="1" x14ac:dyDescent="0.2">
      <c r="B10" s="2385" t="s">
        <v>219</v>
      </c>
      <c r="C10" s="2386"/>
      <c r="D10" s="2387"/>
      <c r="E10" s="2414" t="s">
        <v>220</v>
      </c>
      <c r="F10" s="2415"/>
      <c r="G10" s="2414"/>
      <c r="H10" s="2350"/>
      <c r="I10" s="2351"/>
      <c r="J10" s="2312"/>
      <c r="K10" s="2405"/>
      <c r="L10" s="2315" t="s">
        <v>215</v>
      </c>
      <c r="M10" s="2316"/>
      <c r="N10" s="2316"/>
      <c r="O10" s="2316"/>
      <c r="P10" s="2316"/>
      <c r="Q10" s="2317"/>
      <c r="R10" s="112" t="s">
        <v>234</v>
      </c>
    </row>
    <row r="11" spans="2:21" s="836" customFormat="1" ht="12.95" customHeight="1" x14ac:dyDescent="0.2">
      <c r="B11" s="2388"/>
      <c r="C11" s="2389"/>
      <c r="D11" s="2390"/>
      <c r="E11" s="2416"/>
      <c r="F11" s="2416"/>
      <c r="G11" s="2416"/>
      <c r="H11" s="2350"/>
      <c r="I11" s="2351"/>
      <c r="J11" s="2312"/>
      <c r="K11" s="2405"/>
      <c r="L11" s="2311" t="s">
        <v>18</v>
      </c>
      <c r="M11" s="2311" t="s">
        <v>236</v>
      </c>
      <c r="N11" s="2311" t="s">
        <v>237</v>
      </c>
      <c r="O11" s="2399" t="s">
        <v>199</v>
      </c>
      <c r="P11" s="2400"/>
      <c r="Q11" s="2401"/>
      <c r="R11" s="112" t="s">
        <v>235</v>
      </c>
    </row>
    <row r="12" spans="2:21" s="836" customFormat="1" ht="12.95" customHeight="1" x14ac:dyDescent="0.2">
      <c r="B12" s="2391"/>
      <c r="C12" s="2392"/>
      <c r="D12" s="2393"/>
      <c r="E12" s="2417"/>
      <c r="F12" s="2417"/>
      <c r="G12" s="2417"/>
      <c r="H12" s="2352"/>
      <c r="I12" s="2353"/>
      <c r="J12" s="2313"/>
      <c r="K12" s="2406"/>
      <c r="L12" s="2407"/>
      <c r="M12" s="2314"/>
      <c r="N12" s="2314"/>
      <c r="O12" s="2402"/>
      <c r="P12" s="2403"/>
      <c r="Q12" s="2404"/>
      <c r="R12" s="837"/>
    </row>
    <row r="13" spans="2:21" ht="12.95" customHeight="1" thickBot="1" x14ac:dyDescent="0.25">
      <c r="B13" s="2357">
        <v>1</v>
      </c>
      <c r="C13" s="2318"/>
      <c r="D13" s="2319"/>
      <c r="E13" s="2360">
        <v>2</v>
      </c>
      <c r="F13" s="2361"/>
      <c r="G13" s="2362"/>
      <c r="H13" s="2318">
        <v>3</v>
      </c>
      <c r="I13" s="2319"/>
      <c r="J13" s="678">
        <v>4</v>
      </c>
      <c r="K13" s="677">
        <v>5</v>
      </c>
      <c r="L13" s="678">
        <v>6</v>
      </c>
      <c r="M13" s="677">
        <v>7</v>
      </c>
      <c r="N13" s="677">
        <v>8</v>
      </c>
      <c r="O13" s="2360" t="s">
        <v>28</v>
      </c>
      <c r="P13" s="2361"/>
      <c r="Q13" s="2362"/>
      <c r="R13" s="113">
        <v>10</v>
      </c>
      <c r="T13" s="838" t="e">
        <f>SUM(T15:T22)</f>
        <v>#REF!</v>
      </c>
      <c r="U13" s="818">
        <v>24120663050</v>
      </c>
    </row>
    <row r="14" spans="2:21" ht="12.95" customHeight="1" thickTop="1" x14ac:dyDescent="0.2">
      <c r="B14" s="833"/>
      <c r="C14" s="730"/>
      <c r="D14" s="839"/>
      <c r="E14" s="2363"/>
      <c r="F14" s="2364"/>
      <c r="G14" s="2365"/>
      <c r="H14" s="2358"/>
      <c r="I14" s="2359"/>
      <c r="J14" s="840"/>
      <c r="K14" s="334"/>
      <c r="L14" s="841"/>
      <c r="M14" s="842"/>
      <c r="N14" s="842"/>
      <c r="O14" s="2334"/>
      <c r="P14" s="2335"/>
      <c r="Q14" s="2336"/>
      <c r="R14" s="843"/>
    </row>
    <row r="15" spans="2:21" ht="12.95" customHeight="1" x14ac:dyDescent="0.2">
      <c r="B15" s="844" t="s">
        <v>204</v>
      </c>
      <c r="C15" s="845" t="s">
        <v>142</v>
      </c>
      <c r="D15" s="393" t="s">
        <v>521</v>
      </c>
      <c r="E15" s="846" t="s">
        <v>204</v>
      </c>
      <c r="F15" s="845" t="s">
        <v>145</v>
      </c>
      <c r="G15" s="847" t="s">
        <v>507</v>
      </c>
      <c r="H15" s="2329"/>
      <c r="I15" s="2330"/>
      <c r="J15" s="848" t="s">
        <v>151</v>
      </c>
      <c r="K15" s="849"/>
      <c r="L15" s="850">
        <v>0</v>
      </c>
      <c r="M15" s="774">
        <f>'KOM, SDM7LISTRIK'!P30</f>
        <v>58926000</v>
      </c>
      <c r="N15" s="341">
        <v>0</v>
      </c>
      <c r="O15" s="2337">
        <f>L15+M15+N15</f>
        <v>58926000</v>
      </c>
      <c r="P15" s="2338"/>
      <c r="Q15" s="2339"/>
      <c r="R15" s="851"/>
      <c r="T15" s="720">
        <f>SUM(O15:Q22)</f>
        <v>1101823296</v>
      </c>
      <c r="U15" s="725">
        <v>2824097600</v>
      </c>
    </row>
    <row r="16" spans="2:21" ht="12.95" customHeight="1" x14ac:dyDescent="0.2">
      <c r="B16" s="833"/>
      <c r="C16" s="730"/>
      <c r="D16" s="852"/>
      <c r="E16" s="846" t="s">
        <v>205</v>
      </c>
      <c r="F16" s="845" t="s">
        <v>166</v>
      </c>
      <c r="G16" s="847" t="s">
        <v>508</v>
      </c>
      <c r="H16" s="2329"/>
      <c r="I16" s="2330"/>
      <c r="J16" s="848" t="s">
        <v>151</v>
      </c>
      <c r="K16" s="849"/>
      <c r="L16" s="850">
        <v>0</v>
      </c>
      <c r="M16" s="774">
        <f>'JS KBR KTR'!P32</f>
        <v>5550000</v>
      </c>
      <c r="N16" s="341">
        <v>0</v>
      </c>
      <c r="O16" s="2337">
        <f t="shared" ref="O16:O22" si="0">L16+M16+N16</f>
        <v>5550000</v>
      </c>
      <c r="P16" s="2338"/>
      <c r="Q16" s="2339"/>
      <c r="R16" s="851"/>
      <c r="T16" s="720">
        <f>SUM(O24:Q26)</f>
        <v>84965050</v>
      </c>
      <c r="U16" s="725">
        <v>933517750</v>
      </c>
    </row>
    <row r="17" spans="2:24" ht="12.95" customHeight="1" x14ac:dyDescent="0.2">
      <c r="B17" s="853"/>
      <c r="C17" s="726"/>
      <c r="D17" s="852"/>
      <c r="E17" s="846" t="s">
        <v>509</v>
      </c>
      <c r="F17" s="845" t="s">
        <v>170</v>
      </c>
      <c r="G17" s="847" t="s">
        <v>131</v>
      </c>
      <c r="H17" s="2329"/>
      <c r="I17" s="2330"/>
      <c r="J17" s="848" t="s">
        <v>151</v>
      </c>
      <c r="K17" s="849"/>
      <c r="L17" s="850">
        <v>0</v>
      </c>
      <c r="M17" s="774">
        <f>Atk!P31</f>
        <v>10755125</v>
      </c>
      <c r="N17" s="341">
        <v>0</v>
      </c>
      <c r="O17" s="2337">
        <f t="shared" si="0"/>
        <v>10755125</v>
      </c>
      <c r="P17" s="2338"/>
      <c r="Q17" s="2339"/>
      <c r="R17" s="851"/>
      <c r="T17" s="720">
        <f>SUM(O28:Q28)</f>
        <v>0</v>
      </c>
      <c r="U17" s="725">
        <v>126970000</v>
      </c>
    </row>
    <row r="18" spans="2:24" ht="12.95" customHeight="1" x14ac:dyDescent="0.2">
      <c r="B18" s="853"/>
      <c r="C18" s="726"/>
      <c r="D18" s="852"/>
      <c r="E18" s="846" t="s">
        <v>510</v>
      </c>
      <c r="F18" s="845" t="s">
        <v>592</v>
      </c>
      <c r="G18" s="847" t="s">
        <v>515</v>
      </c>
      <c r="H18" s="2366"/>
      <c r="I18" s="2367"/>
      <c r="J18" s="848" t="s">
        <v>151</v>
      </c>
      <c r="K18" s="849"/>
      <c r="L18" s="850">
        <v>0</v>
      </c>
      <c r="M18" s="774">
        <f>'CETAK &amp; PENGGANDAAN'!P31</f>
        <v>8000050</v>
      </c>
      <c r="N18" s="341">
        <v>0</v>
      </c>
      <c r="O18" s="2337">
        <f t="shared" si="0"/>
        <v>8000050</v>
      </c>
      <c r="P18" s="2338"/>
      <c r="Q18" s="2339"/>
      <c r="R18" s="851" t="s">
        <v>66</v>
      </c>
      <c r="T18" s="720" t="e">
        <f>SUM(#REF!)</f>
        <v>#REF!</v>
      </c>
      <c r="U18" s="725">
        <v>8753100000</v>
      </c>
    </row>
    <row r="19" spans="2:24" ht="26.1" customHeight="1" x14ac:dyDescent="0.2">
      <c r="B19" s="853"/>
      <c r="C19" s="726"/>
      <c r="D19" s="852"/>
      <c r="E19" s="854" t="s">
        <v>511</v>
      </c>
      <c r="F19" s="855" t="s">
        <v>593</v>
      </c>
      <c r="G19" s="847" t="s">
        <v>516</v>
      </c>
      <c r="H19" s="2329"/>
      <c r="I19" s="2330"/>
      <c r="J19" s="848" t="s">
        <v>151</v>
      </c>
      <c r="K19" s="849"/>
      <c r="L19" s="856">
        <v>0</v>
      </c>
      <c r="M19" s="857">
        <f>'Inslsi Lstrik Ktr'!P31</f>
        <v>2500000</v>
      </c>
      <c r="N19" s="361">
        <v>0</v>
      </c>
      <c r="O19" s="2326">
        <f t="shared" si="0"/>
        <v>2500000</v>
      </c>
      <c r="P19" s="2327"/>
      <c r="Q19" s="2328"/>
      <c r="R19" s="851"/>
      <c r="T19" s="720" t="e">
        <f>SUM(#REF!)</f>
        <v>#REF!</v>
      </c>
      <c r="U19" s="725">
        <v>282520000</v>
      </c>
    </row>
    <row r="20" spans="2:24" ht="12.95" customHeight="1" x14ac:dyDescent="0.2">
      <c r="B20" s="853"/>
      <c r="C20" s="726"/>
      <c r="D20" s="852"/>
      <c r="E20" s="846" t="s">
        <v>512</v>
      </c>
      <c r="F20" s="845" t="s">
        <v>594</v>
      </c>
      <c r="G20" s="847" t="s">
        <v>135</v>
      </c>
      <c r="H20" s="2366"/>
      <c r="I20" s="2367"/>
      <c r="J20" s="848" t="s">
        <v>151</v>
      </c>
      <c r="K20" s="849"/>
      <c r="L20" s="850">
        <v>0</v>
      </c>
      <c r="M20" s="774">
        <f>'Mkan Mnum'!P31</f>
        <v>57190000</v>
      </c>
      <c r="N20" s="341">
        <v>0</v>
      </c>
      <c r="O20" s="2337">
        <f t="shared" si="0"/>
        <v>57190000</v>
      </c>
      <c r="P20" s="2338"/>
      <c r="Q20" s="2339"/>
      <c r="R20" s="851"/>
      <c r="T20" s="720" t="e">
        <f>SUM(#REF!)</f>
        <v>#REF!</v>
      </c>
      <c r="U20" s="725">
        <v>4934775000</v>
      </c>
    </row>
    <row r="21" spans="2:24" ht="24.95" customHeight="1" x14ac:dyDescent="0.2">
      <c r="B21" s="853"/>
      <c r="C21" s="726"/>
      <c r="D21" s="394"/>
      <c r="E21" s="854" t="s">
        <v>513</v>
      </c>
      <c r="F21" s="855" t="s">
        <v>595</v>
      </c>
      <c r="G21" s="847" t="s">
        <v>517</v>
      </c>
      <c r="H21" s="2340"/>
      <c r="I21" s="2341"/>
      <c r="J21" s="848" t="s">
        <v>151</v>
      </c>
      <c r="K21" s="849"/>
      <c r="L21" s="856">
        <v>0</v>
      </c>
      <c r="M21" s="1062">
        <f>'RAPAT LUAR DAERAH'!P31</f>
        <v>84042121</v>
      </c>
      <c r="N21" s="361">
        <v>0</v>
      </c>
      <c r="O21" s="2326">
        <f t="shared" si="0"/>
        <v>84042121</v>
      </c>
      <c r="P21" s="2327"/>
      <c r="Q21" s="2328"/>
      <c r="R21" s="851"/>
      <c r="T21" s="858" t="e">
        <f>SUM(#REF!)</f>
        <v>#REF!</v>
      </c>
      <c r="U21" s="725">
        <v>3295157700</v>
      </c>
    </row>
    <row r="22" spans="2:24" ht="26.1" customHeight="1" x14ac:dyDescent="0.2">
      <c r="B22" s="853"/>
      <c r="C22" s="726"/>
      <c r="D22" s="852"/>
      <c r="E22" s="854" t="s">
        <v>514</v>
      </c>
      <c r="F22" s="855" t="s">
        <v>596</v>
      </c>
      <c r="G22" s="859" t="s">
        <v>518</v>
      </c>
      <c r="H22" s="2329"/>
      <c r="I22" s="2330"/>
      <c r="J22" s="848" t="s">
        <v>151</v>
      </c>
      <c r="K22" s="849"/>
      <c r="L22" s="1691">
        <f>'Honor NON PNS'!P35</f>
        <v>266700000</v>
      </c>
      <c r="M22" s="1692">
        <f>'Honor NON PNS'!P57</f>
        <v>608160000</v>
      </c>
      <c r="N22" s="1693">
        <v>0</v>
      </c>
      <c r="O22" s="2326">
        <f t="shared" si="0"/>
        <v>874860000</v>
      </c>
      <c r="P22" s="2327"/>
      <c r="Q22" s="2328"/>
      <c r="R22" s="851"/>
      <c r="S22" s="820"/>
      <c r="T22" s="725">
        <f>SUM(O42:Q44)</f>
        <v>960129100</v>
      </c>
      <c r="U22" s="715">
        <v>558925000</v>
      </c>
    </row>
    <row r="23" spans="2:24" ht="12.95" customHeight="1" x14ac:dyDescent="0.2">
      <c r="B23" s="833"/>
      <c r="C23" s="730"/>
      <c r="D23" s="852"/>
      <c r="E23" s="2342"/>
      <c r="F23" s="2343"/>
      <c r="G23" s="2344"/>
      <c r="H23" s="2345"/>
      <c r="I23" s="2341"/>
      <c r="J23" s="848"/>
      <c r="K23" s="849"/>
      <c r="L23" s="1691"/>
      <c r="M23" s="1692"/>
      <c r="N23" s="1693"/>
      <c r="O23" s="2331">
        <f>SUM(O15:Q22)</f>
        <v>1101823296</v>
      </c>
      <c r="P23" s="2332"/>
      <c r="Q23" s="2333"/>
      <c r="R23" s="851"/>
      <c r="S23" s="860">
        <f>SUM(O15:Q22)</f>
        <v>1101823296</v>
      </c>
    </row>
    <row r="24" spans="2:24" ht="12.95" customHeight="1" x14ac:dyDescent="0.2">
      <c r="B24" s="861" t="s">
        <v>205</v>
      </c>
      <c r="C24" s="855" t="s">
        <v>145</v>
      </c>
      <c r="D24" s="498" t="s">
        <v>156</v>
      </c>
      <c r="E24" s="854" t="s">
        <v>204</v>
      </c>
      <c r="F24" s="855" t="s">
        <v>155</v>
      </c>
      <c r="G24" s="862" t="s">
        <v>425</v>
      </c>
      <c r="H24" s="2340"/>
      <c r="I24" s="2341"/>
      <c r="J24" s="848" t="s">
        <v>151</v>
      </c>
      <c r="K24" s="849"/>
      <c r="L24" s="1694">
        <v>0</v>
      </c>
      <c r="M24" s="1692">
        <v>0</v>
      </c>
      <c r="N24" s="1692">
        <f>'Pengadaan peraltan '!P34</f>
        <v>0</v>
      </c>
      <c r="O24" s="2326">
        <f>L24+M24+N24</f>
        <v>0</v>
      </c>
      <c r="P24" s="2327"/>
      <c r="Q24" s="2328"/>
      <c r="R24" s="851"/>
    </row>
    <row r="25" spans="2:24" ht="32.1" customHeight="1" x14ac:dyDescent="0.2">
      <c r="B25" s="853"/>
      <c r="C25" s="863"/>
      <c r="D25" s="395"/>
      <c r="E25" s="854" t="s">
        <v>205</v>
      </c>
      <c r="F25" s="864" t="s">
        <v>597</v>
      </c>
      <c r="G25" s="865" t="s">
        <v>519</v>
      </c>
      <c r="H25" s="2329"/>
      <c r="I25" s="2330"/>
      <c r="J25" s="848" t="s">
        <v>151</v>
      </c>
      <c r="K25" s="849"/>
      <c r="L25" s="1694">
        <f>'PEMEL KEND DINAS'!P35</f>
        <v>1500000</v>
      </c>
      <c r="M25" s="1692">
        <f>'PEMEL KEND DINAS'!P40</f>
        <v>61585920</v>
      </c>
      <c r="N25" s="1693">
        <v>0</v>
      </c>
      <c r="O25" s="2326">
        <f>L25+M25+N25</f>
        <v>63085920</v>
      </c>
      <c r="P25" s="2327"/>
      <c r="Q25" s="2328"/>
      <c r="R25" s="851"/>
      <c r="T25" s="720"/>
      <c r="U25" s="725" t="e">
        <f>SUM(V26:V27)</f>
        <v>#REF!</v>
      </c>
    </row>
    <row r="26" spans="2:24" ht="24.6" customHeight="1" x14ac:dyDescent="0.2">
      <c r="B26" s="853"/>
      <c r="C26" s="863"/>
      <c r="D26" s="395"/>
      <c r="E26" s="854" t="s">
        <v>509</v>
      </c>
      <c r="F26" s="855" t="s">
        <v>598</v>
      </c>
      <c r="G26" s="498" t="s">
        <v>520</v>
      </c>
      <c r="H26" s="2345"/>
      <c r="I26" s="2341"/>
      <c r="J26" s="848" t="s">
        <v>151</v>
      </c>
      <c r="K26" s="849"/>
      <c r="L26" s="1695">
        <v>0</v>
      </c>
      <c r="M26" s="1692">
        <f>'PEMEL PRLTN GDG KTR'!P35</f>
        <v>21879130</v>
      </c>
      <c r="N26" s="1693">
        <v>0</v>
      </c>
      <c r="O26" s="2326">
        <f>L26+M26+N26</f>
        <v>21879130</v>
      </c>
      <c r="P26" s="2327"/>
      <c r="Q26" s="2328"/>
      <c r="R26" s="851"/>
      <c r="U26" s="725" t="s">
        <v>351</v>
      </c>
      <c r="V26" s="725" t="e">
        <f>#REF!</f>
        <v>#REF!</v>
      </c>
    </row>
    <row r="27" spans="2:24" ht="12.95" customHeight="1" x14ac:dyDescent="0.2">
      <c r="B27" s="833"/>
      <c r="C27" s="730"/>
      <c r="D27" s="395"/>
      <c r="E27" s="2342"/>
      <c r="F27" s="2343"/>
      <c r="G27" s="2344"/>
      <c r="H27" s="2345"/>
      <c r="I27" s="2341"/>
      <c r="J27" s="848"/>
      <c r="K27" s="849"/>
      <c r="L27" s="1696"/>
      <c r="M27" s="1697"/>
      <c r="N27" s="1698"/>
      <c r="O27" s="2320">
        <f>SUM(O24:Q26)</f>
        <v>84965050</v>
      </c>
      <c r="P27" s="2321"/>
      <c r="Q27" s="2322"/>
      <c r="R27" s="851"/>
      <c r="S27" s="725">
        <f>SUM(O24:Q26)</f>
        <v>84965050</v>
      </c>
      <c r="U27" s="725" t="s">
        <v>350</v>
      </c>
      <c r="V27" s="725" t="e">
        <f>SUM(#REF!)+#REF!</f>
        <v>#REF!</v>
      </c>
    </row>
    <row r="28" spans="2:24" ht="26.1" customHeight="1" x14ac:dyDescent="0.2">
      <c r="B28" s="844" t="s">
        <v>509</v>
      </c>
      <c r="C28" s="866" t="s">
        <v>164</v>
      </c>
      <c r="D28" s="395" t="s">
        <v>522</v>
      </c>
      <c r="E28" s="854" t="s">
        <v>204</v>
      </c>
      <c r="F28" s="855" t="s">
        <v>145</v>
      </c>
      <c r="G28" s="867" t="s">
        <v>526</v>
      </c>
      <c r="H28" s="2345"/>
      <c r="I28" s="2341"/>
      <c r="J28" s="848" t="s">
        <v>151</v>
      </c>
      <c r="K28" s="849"/>
      <c r="L28" s="1695">
        <v>0</v>
      </c>
      <c r="M28" s="1692">
        <f>'BAJU PDH'!P35</f>
        <v>0</v>
      </c>
      <c r="N28" s="1693">
        <v>0</v>
      </c>
      <c r="O28" s="2326">
        <f>L28+M28+N28</f>
        <v>0</v>
      </c>
      <c r="P28" s="2327"/>
      <c r="Q28" s="2328"/>
      <c r="R28" s="851"/>
      <c r="U28" s="725"/>
      <c r="V28" s="725"/>
    </row>
    <row r="29" spans="2:24" ht="12.95" customHeight="1" x14ac:dyDescent="0.2">
      <c r="B29" s="833"/>
      <c r="C29" s="730"/>
      <c r="D29" s="396"/>
      <c r="E29" s="2342"/>
      <c r="F29" s="2343"/>
      <c r="G29" s="2344"/>
      <c r="H29" s="2345"/>
      <c r="I29" s="2341"/>
      <c r="J29" s="848"/>
      <c r="K29" s="688"/>
      <c r="L29" s="1696"/>
      <c r="M29" s="1697"/>
      <c r="N29" s="1693"/>
      <c r="O29" s="2320">
        <f>SUM(O28)</f>
        <v>0</v>
      </c>
      <c r="P29" s="2321"/>
      <c r="Q29" s="2322"/>
      <c r="R29" s="869"/>
      <c r="S29" s="725">
        <f>SUM(O28:Q28)</f>
        <v>0</v>
      </c>
      <c r="T29" s="720"/>
      <c r="U29" s="725" t="e">
        <f>SUM(V26:V27)</f>
        <v>#REF!</v>
      </c>
      <c r="W29" s="870"/>
    </row>
    <row r="30" spans="2:24" ht="26.1" customHeight="1" x14ac:dyDescent="0.2">
      <c r="B30" s="861" t="s">
        <v>510</v>
      </c>
      <c r="C30" s="871" t="s">
        <v>599</v>
      </c>
      <c r="D30" s="396" t="s">
        <v>523</v>
      </c>
      <c r="E30" s="854" t="s">
        <v>204</v>
      </c>
      <c r="F30" s="855" t="s">
        <v>142</v>
      </c>
      <c r="G30" s="872" t="s">
        <v>942</v>
      </c>
      <c r="H30" s="2340"/>
      <c r="I30" s="2341"/>
      <c r="J30" s="848" t="s">
        <v>151</v>
      </c>
      <c r="K30" s="274"/>
      <c r="L30" s="1699">
        <f>'STATISTIK SURVEY SEKTORAL'!P33</f>
        <v>16100000</v>
      </c>
      <c r="M30" s="1692">
        <f>'STATISTIK SURVEY SEKTORAL'!P52</f>
        <v>16183930</v>
      </c>
      <c r="N30" s="1692">
        <v>0</v>
      </c>
      <c r="O30" s="2326">
        <f>L30+M30+N30</f>
        <v>32283930</v>
      </c>
      <c r="P30" s="2327"/>
      <c r="Q30" s="2328"/>
      <c r="R30" s="851"/>
      <c r="T30" s="720"/>
      <c r="U30" s="725"/>
      <c r="W30" s="2342"/>
      <c r="X30" s="2344"/>
    </row>
    <row r="31" spans="2:24" ht="26.1" customHeight="1" x14ac:dyDescent="0.2">
      <c r="B31" s="861"/>
      <c r="C31" s="871"/>
      <c r="D31" s="396"/>
      <c r="E31" s="854" t="s">
        <v>205</v>
      </c>
      <c r="F31" s="855" t="s">
        <v>145</v>
      </c>
      <c r="G31" s="872" t="s">
        <v>600</v>
      </c>
      <c r="H31" s="2340"/>
      <c r="I31" s="2341"/>
      <c r="J31" s="848" t="s">
        <v>151</v>
      </c>
      <c r="K31" s="274"/>
      <c r="L31" s="1699">
        <f>'STATISTIK FORUM 1 DATA'!P33</f>
        <v>0</v>
      </c>
      <c r="M31" s="1692">
        <f>'STATISTIK FORUM 1 DATA'!P50</f>
        <v>0</v>
      </c>
      <c r="N31" s="1692">
        <v>0</v>
      </c>
      <c r="O31" s="2326">
        <f>L31+M31+N31</f>
        <v>0</v>
      </c>
      <c r="P31" s="2327"/>
      <c r="Q31" s="2328"/>
      <c r="R31" s="851"/>
      <c r="T31" s="720"/>
      <c r="U31" s="725"/>
      <c r="W31" s="1689"/>
      <c r="X31" s="1690"/>
    </row>
    <row r="32" spans="2:24" ht="12.95" customHeight="1" x14ac:dyDescent="0.2">
      <c r="B32" s="853"/>
      <c r="C32" s="863"/>
      <c r="D32" s="395"/>
      <c r="E32" s="2342"/>
      <c r="F32" s="2343"/>
      <c r="G32" s="2344"/>
      <c r="H32" s="2345"/>
      <c r="I32" s="2341"/>
      <c r="J32" s="848"/>
      <c r="K32" s="274"/>
      <c r="L32" s="1700"/>
      <c r="M32" s="1701"/>
      <c r="N32" s="1702"/>
      <c r="O32" s="2323">
        <f>SUM(O30:Q31)</f>
        <v>32283930</v>
      </c>
      <c r="P32" s="2324"/>
      <c r="Q32" s="2325"/>
      <c r="R32" s="851"/>
      <c r="S32" s="725">
        <f>SUM(O30:Q30)</f>
        <v>32283930</v>
      </c>
      <c r="T32" s="720"/>
      <c r="U32" s="725"/>
      <c r="W32" s="2432"/>
      <c r="X32" s="2433"/>
    </row>
    <row r="33" spans="2:24" ht="26.1" customHeight="1" x14ac:dyDescent="0.2">
      <c r="B33" s="861" t="s">
        <v>511</v>
      </c>
      <c r="C33" s="871" t="s">
        <v>599</v>
      </c>
      <c r="D33" s="397" t="s">
        <v>524</v>
      </c>
      <c r="E33" s="854" t="s">
        <v>204</v>
      </c>
      <c r="F33" s="855" t="s">
        <v>145</v>
      </c>
      <c r="G33" s="873" t="s">
        <v>568</v>
      </c>
      <c r="H33" s="2340"/>
      <c r="I33" s="2341"/>
      <c r="J33" s="848" t="s">
        <v>151</v>
      </c>
      <c r="K33" s="874"/>
      <c r="L33" s="1694">
        <f>'SMART WARNET'!P33</f>
        <v>0</v>
      </c>
      <c r="M33" s="1692">
        <f>'SMART WARNET'!P49</f>
        <v>0</v>
      </c>
      <c r="N33" s="1692">
        <v>0</v>
      </c>
      <c r="O33" s="2326">
        <f>SUM(L33:N33)</f>
        <v>0</v>
      </c>
      <c r="P33" s="2327"/>
      <c r="Q33" s="2328"/>
      <c r="R33" s="851"/>
      <c r="T33" s="720"/>
      <c r="U33" s="725"/>
      <c r="W33" s="875"/>
      <c r="X33" s="875"/>
    </row>
    <row r="34" spans="2:24" ht="26.1" customHeight="1" x14ac:dyDescent="0.2">
      <c r="B34" s="853"/>
      <c r="C34" s="863"/>
      <c r="D34" s="398"/>
      <c r="E34" s="854" t="s">
        <v>205</v>
      </c>
      <c r="F34" s="855" t="s">
        <v>164</v>
      </c>
      <c r="G34" s="438" t="s">
        <v>569</v>
      </c>
      <c r="H34" s="2345"/>
      <c r="I34" s="2341"/>
      <c r="J34" s="848" t="s">
        <v>151</v>
      </c>
      <c r="K34" s="874"/>
      <c r="L34" s="1694">
        <f>'SMART UU40&amp;BINTEK'!P33</f>
        <v>13100000</v>
      </c>
      <c r="M34" s="1692">
        <f>'SMART UU40&amp;BINTEK'!P61</f>
        <v>375405100</v>
      </c>
      <c r="N34" s="1692">
        <v>0</v>
      </c>
      <c r="O34" s="2326">
        <f>SUM(L34:N34)</f>
        <v>388505100</v>
      </c>
      <c r="P34" s="2327"/>
      <c r="Q34" s="2328"/>
      <c r="R34" s="851"/>
      <c r="T34" s="720"/>
      <c r="U34" s="725"/>
      <c r="W34" s="875"/>
      <c r="X34" s="875"/>
    </row>
    <row r="35" spans="2:24" ht="12.95" customHeight="1" x14ac:dyDescent="0.2">
      <c r="B35" s="853"/>
      <c r="C35" s="863"/>
      <c r="D35" s="398"/>
      <c r="E35" s="854" t="s">
        <v>509</v>
      </c>
      <c r="F35" s="876" t="s">
        <v>144</v>
      </c>
      <c r="G35" s="862" t="s">
        <v>527</v>
      </c>
      <c r="H35" s="2345"/>
      <c r="I35" s="2341"/>
      <c r="J35" s="848" t="s">
        <v>151</v>
      </c>
      <c r="K35" s="849"/>
      <c r="L35" s="1694">
        <f>'E-GOV INFRASTUKTUR'!P36</f>
        <v>65100000</v>
      </c>
      <c r="M35" s="1692">
        <f>'E-GOV INFRASTUKTUR'!P67</f>
        <v>450415600</v>
      </c>
      <c r="N35" s="1692">
        <f>'E-GOV INFRASTUKTUR'!P117</f>
        <v>1451230842</v>
      </c>
      <c r="O35" s="2326">
        <f>SUM(L35:N35)</f>
        <v>1966746442</v>
      </c>
      <c r="P35" s="2327"/>
      <c r="Q35" s="2328"/>
      <c r="R35" s="851"/>
      <c r="T35" s="720"/>
      <c r="U35" s="725"/>
      <c r="W35" s="875"/>
      <c r="X35" s="875"/>
    </row>
    <row r="36" spans="2:24" ht="26.1" customHeight="1" x14ac:dyDescent="0.2">
      <c r="B36" s="853"/>
      <c r="C36" s="863"/>
      <c r="D36" s="398"/>
      <c r="E36" s="854" t="s">
        <v>510</v>
      </c>
      <c r="F36" s="876" t="s">
        <v>572</v>
      </c>
      <c r="G36" s="877" t="s">
        <v>372</v>
      </c>
      <c r="H36" s="2340"/>
      <c r="I36" s="2341"/>
      <c r="J36" s="848" t="s">
        <v>151</v>
      </c>
      <c r="K36" s="849"/>
      <c r="L36" s="1694">
        <f>'E-GOV APLIKASI'!P33</f>
        <v>89815000</v>
      </c>
      <c r="M36" s="1692">
        <f>'E-GOV APLIKASI'!P71</f>
        <v>178954930</v>
      </c>
      <c r="N36" s="1692">
        <v>0</v>
      </c>
      <c r="O36" s="2326">
        <f>SUM(L36:N36)</f>
        <v>268769930</v>
      </c>
      <c r="P36" s="2327"/>
      <c r="Q36" s="2328"/>
      <c r="R36" s="851"/>
      <c r="T36" s="720"/>
      <c r="U36" s="725"/>
      <c r="W36" s="875"/>
      <c r="X36" s="875"/>
    </row>
    <row r="37" spans="2:24" ht="12.95" customHeight="1" x14ac:dyDescent="0.2">
      <c r="B37" s="853"/>
      <c r="C37" s="863"/>
      <c r="D37" s="398"/>
      <c r="E37" s="854"/>
      <c r="F37" s="855"/>
      <c r="G37" s="438"/>
      <c r="H37" s="679"/>
      <c r="I37" s="680"/>
      <c r="J37" s="848"/>
      <c r="K37" s="849"/>
      <c r="L37" s="1703"/>
      <c r="M37" s="1697"/>
      <c r="N37" s="1697"/>
      <c r="O37" s="2320">
        <f>SUM(O33:Q36)</f>
        <v>2624021472</v>
      </c>
      <c r="P37" s="2321"/>
      <c r="Q37" s="2322"/>
      <c r="R37" s="851"/>
      <c r="S37" s="725"/>
      <c r="T37" s="720"/>
      <c r="U37" s="725"/>
      <c r="W37" s="875"/>
      <c r="X37" s="875"/>
    </row>
    <row r="38" spans="2:24" ht="26.1" customHeight="1" x14ac:dyDescent="0.2">
      <c r="B38" s="861" t="s">
        <v>512</v>
      </c>
      <c r="C38" s="871" t="s">
        <v>641</v>
      </c>
      <c r="D38" s="397" t="s">
        <v>642</v>
      </c>
      <c r="E38" s="854" t="s">
        <v>204</v>
      </c>
      <c r="F38" s="855" t="s">
        <v>142</v>
      </c>
      <c r="G38" s="873" t="s">
        <v>642</v>
      </c>
      <c r="H38" s="2340"/>
      <c r="I38" s="2341"/>
      <c r="J38" s="848" t="s">
        <v>151</v>
      </c>
      <c r="K38" s="874"/>
      <c r="L38" s="1694">
        <f>'PIP SWARGA'!P33</f>
        <v>0</v>
      </c>
      <c r="M38" s="1692">
        <f>'PIP SWARGA'!P55</f>
        <v>0</v>
      </c>
      <c r="N38" s="1692">
        <v>0</v>
      </c>
      <c r="O38" s="2326">
        <f>SUM(L38:N38)</f>
        <v>0</v>
      </c>
      <c r="P38" s="2327"/>
      <c r="Q38" s="2328"/>
      <c r="R38" s="851"/>
      <c r="S38" s="725"/>
      <c r="T38" s="720"/>
      <c r="U38" s="725"/>
      <c r="W38" s="875"/>
      <c r="X38" s="875"/>
    </row>
    <row r="39" spans="2:24" ht="12.95" customHeight="1" x14ac:dyDescent="0.2">
      <c r="B39" s="853"/>
      <c r="C39" s="863"/>
      <c r="D39" s="398"/>
      <c r="E39" s="854"/>
      <c r="F39" s="855"/>
      <c r="G39" s="438"/>
      <c r="H39" s="679"/>
      <c r="I39" s="680"/>
      <c r="J39" s="848"/>
      <c r="K39" s="849"/>
      <c r="L39" s="1703"/>
      <c r="M39" s="1697"/>
      <c r="N39" s="1697"/>
      <c r="O39" s="2320">
        <f>SUM(O38)</f>
        <v>0</v>
      </c>
      <c r="P39" s="2321"/>
      <c r="Q39" s="2322"/>
      <c r="R39" s="851"/>
      <c r="S39" s="725"/>
      <c r="T39" s="720"/>
      <c r="U39" s="725"/>
      <c r="W39" s="875"/>
      <c r="X39" s="875"/>
    </row>
    <row r="40" spans="2:24" ht="26.1" customHeight="1" x14ac:dyDescent="0.2">
      <c r="B40" s="861" t="s">
        <v>513</v>
      </c>
      <c r="C40" s="871" t="s">
        <v>594</v>
      </c>
      <c r="D40" s="397" t="s">
        <v>570</v>
      </c>
      <c r="E40" s="854" t="s">
        <v>204</v>
      </c>
      <c r="F40" s="855" t="s">
        <v>142</v>
      </c>
      <c r="G40" s="438" t="s">
        <v>559</v>
      </c>
      <c r="H40" s="2345"/>
      <c r="I40" s="2341"/>
      <c r="J40" s="848" t="s">
        <v>151</v>
      </c>
      <c r="K40" s="849"/>
      <c r="L40" s="1694">
        <f>'SMART PELTIHAN PERS'!P33</f>
        <v>0</v>
      </c>
      <c r="M40" s="1692">
        <f>'SMART PELTIHAN PERS'!P46</f>
        <v>0</v>
      </c>
      <c r="N40" s="1692">
        <v>0</v>
      </c>
      <c r="O40" s="2326">
        <f t="shared" ref="O40" si="1">SUM(L40:N40)</f>
        <v>0</v>
      </c>
      <c r="P40" s="2327"/>
      <c r="Q40" s="2328"/>
      <c r="R40" s="851"/>
      <c r="T40" s="720"/>
      <c r="U40" s="725"/>
    </row>
    <row r="41" spans="2:24" ht="12.95" customHeight="1" x14ac:dyDescent="0.2">
      <c r="B41" s="833"/>
      <c r="C41" s="730"/>
      <c r="D41" s="397"/>
      <c r="E41" s="878"/>
      <c r="F41" s="879"/>
      <c r="G41" s="880"/>
      <c r="H41" s="2345"/>
      <c r="I41" s="2341"/>
      <c r="J41" s="848"/>
      <c r="K41" s="881"/>
      <c r="L41" s="1704"/>
      <c r="M41" s="1705"/>
      <c r="N41" s="1705"/>
      <c r="O41" s="2331">
        <f>SUM(O40)</f>
        <v>0</v>
      </c>
      <c r="P41" s="2332"/>
      <c r="Q41" s="2333"/>
      <c r="R41" s="851"/>
      <c r="S41" s="725"/>
      <c r="T41" s="720"/>
      <c r="U41" s="725"/>
    </row>
    <row r="42" spans="2:24" ht="12.95" customHeight="1" x14ac:dyDescent="0.2">
      <c r="B42" s="844" t="s">
        <v>514</v>
      </c>
      <c r="C42" s="866" t="s">
        <v>595</v>
      </c>
      <c r="D42" s="398" t="s">
        <v>525</v>
      </c>
      <c r="E42" s="854" t="s">
        <v>204</v>
      </c>
      <c r="F42" s="855" t="s">
        <v>142</v>
      </c>
      <c r="G42" s="867" t="s">
        <v>528</v>
      </c>
      <c r="H42" s="2345"/>
      <c r="I42" s="2341"/>
      <c r="J42" s="882" t="s">
        <v>151</v>
      </c>
      <c r="K42" s="883"/>
      <c r="L42" s="1703">
        <f>'PPID DAN PROPAGANDA'!P32</f>
        <v>4350000</v>
      </c>
      <c r="M42" s="1697">
        <f>'PPID DAN PROPAGANDA'!P44</f>
        <v>606123500</v>
      </c>
      <c r="N42" s="1697">
        <v>0</v>
      </c>
      <c r="O42" s="2337">
        <f>SUM(L42:N42)</f>
        <v>610473500</v>
      </c>
      <c r="P42" s="2338"/>
      <c r="Q42" s="2339"/>
      <c r="R42" s="851"/>
      <c r="T42" s="720"/>
      <c r="U42" s="725"/>
    </row>
    <row r="43" spans="2:24" ht="25.5" customHeight="1" x14ac:dyDescent="0.2">
      <c r="B43" s="853"/>
      <c r="C43" s="863"/>
      <c r="D43" s="398"/>
      <c r="E43" s="854" t="s">
        <v>205</v>
      </c>
      <c r="F43" s="855" t="s">
        <v>145</v>
      </c>
      <c r="G43" s="867" t="s">
        <v>529</v>
      </c>
      <c r="H43" s="2345"/>
      <c r="I43" s="2341"/>
      <c r="J43" s="882" t="s">
        <v>151</v>
      </c>
      <c r="K43" s="883"/>
      <c r="L43" s="1694">
        <f>'DESIMINASI INFORMASI'!P33</f>
        <v>40500000</v>
      </c>
      <c r="M43" s="1692">
        <f>'DESIMINASI INFORMASI'!P52</f>
        <v>170794220</v>
      </c>
      <c r="N43" s="1692">
        <f>'DESIMINASI INFORMASI'!P78</f>
        <v>91150000</v>
      </c>
      <c r="O43" s="2326">
        <f>SUM(L43:N43)</f>
        <v>302444220</v>
      </c>
      <c r="P43" s="2327"/>
      <c r="Q43" s="2328"/>
      <c r="R43" s="851"/>
      <c r="T43" s="720"/>
      <c r="U43" s="725"/>
    </row>
    <row r="44" spans="2:24" ht="26.1" customHeight="1" x14ac:dyDescent="0.2">
      <c r="B44" s="853"/>
      <c r="C44" s="863"/>
      <c r="D44" s="398"/>
      <c r="E44" s="854" t="s">
        <v>509</v>
      </c>
      <c r="F44" s="855" t="s">
        <v>164</v>
      </c>
      <c r="G44" s="867" t="s">
        <v>530</v>
      </c>
      <c r="H44" s="2345"/>
      <c r="I44" s="2341"/>
      <c r="J44" s="882" t="s">
        <v>151</v>
      </c>
      <c r="K44" s="883"/>
      <c r="L44" s="1694">
        <f>'LOMBA KIG'!P33</f>
        <v>12800000</v>
      </c>
      <c r="M44" s="1692">
        <f>'LOMBA KIG'!P50</f>
        <v>34411380</v>
      </c>
      <c r="N44" s="1692">
        <v>0</v>
      </c>
      <c r="O44" s="2326">
        <f>SUM(L44:N44)</f>
        <v>47211380</v>
      </c>
      <c r="P44" s="2327"/>
      <c r="Q44" s="2328"/>
      <c r="R44" s="851"/>
      <c r="T44" s="720"/>
      <c r="U44" s="725"/>
    </row>
    <row r="45" spans="2:24" ht="12.95" customHeight="1" x14ac:dyDescent="0.2">
      <c r="B45" s="853"/>
      <c r="C45" s="863"/>
      <c r="D45" s="398"/>
      <c r="E45" s="2342"/>
      <c r="F45" s="2343"/>
      <c r="G45" s="2344"/>
      <c r="H45" s="2345"/>
      <c r="I45" s="2341"/>
      <c r="J45" s="882"/>
      <c r="K45" s="883"/>
      <c r="L45" s="884"/>
      <c r="M45" s="868"/>
      <c r="N45" s="868"/>
      <c r="O45" s="2320">
        <f>SUM(O42:Q44)</f>
        <v>960129100</v>
      </c>
      <c r="P45" s="2321"/>
      <c r="Q45" s="2322"/>
      <c r="R45" s="851"/>
      <c r="S45" s="725"/>
      <c r="T45" s="720"/>
      <c r="U45" s="725"/>
      <c r="W45" s="2342"/>
      <c r="X45" s="2344"/>
    </row>
    <row r="46" spans="2:24" ht="12.95" customHeight="1" x14ac:dyDescent="0.2">
      <c r="B46" s="885"/>
      <c r="C46" s="886"/>
      <c r="D46" s="669"/>
      <c r="E46" s="2440"/>
      <c r="F46" s="2440"/>
      <c r="G46" s="2441"/>
      <c r="H46" s="2421"/>
      <c r="I46" s="2422"/>
      <c r="J46" s="887"/>
      <c r="K46" s="888"/>
      <c r="L46" s="889"/>
      <c r="M46" s="890"/>
      <c r="N46" s="891"/>
      <c r="O46" s="2423"/>
      <c r="P46" s="2424"/>
      <c r="Q46" s="2425"/>
      <c r="R46" s="892"/>
      <c r="T46" s="893"/>
    </row>
    <row r="47" spans="2:24" ht="12.95" customHeight="1" thickBot="1" x14ac:dyDescent="0.25">
      <c r="B47" s="2434" t="s">
        <v>199</v>
      </c>
      <c r="C47" s="2435"/>
      <c r="D47" s="2435"/>
      <c r="E47" s="2435"/>
      <c r="F47" s="2435"/>
      <c r="G47" s="2435"/>
      <c r="H47" s="2435"/>
      <c r="I47" s="2435"/>
      <c r="J47" s="2435"/>
      <c r="K47" s="2436"/>
      <c r="L47" s="894">
        <f>SUM(L15:L45)</f>
        <v>509965000</v>
      </c>
      <c r="M47" s="895">
        <f>SUM(M15:M45)</f>
        <v>2750877006</v>
      </c>
      <c r="N47" s="895">
        <f>SUM(N15:N45)</f>
        <v>1542380842</v>
      </c>
      <c r="O47" s="2426">
        <f>SUM(O23+O27+O29+O32+O37+O39+O41+O45)</f>
        <v>4803222848</v>
      </c>
      <c r="P47" s="2427"/>
      <c r="Q47" s="2428"/>
      <c r="R47" s="896"/>
      <c r="S47" s="725"/>
      <c r="T47" s="893">
        <v>2365729695</v>
      </c>
      <c r="U47" s="715" t="s">
        <v>353</v>
      </c>
    </row>
    <row r="48" spans="2:24" ht="12.95" customHeight="1" thickTop="1" x14ac:dyDescent="0.2">
      <c r="B48" s="2437"/>
      <c r="C48" s="2438"/>
      <c r="D48" s="2438"/>
      <c r="E48" s="2438"/>
      <c r="F48" s="2438"/>
      <c r="G48" s="2438"/>
      <c r="H48" s="2438"/>
      <c r="I48" s="2438"/>
      <c r="J48" s="2438"/>
      <c r="K48" s="2438"/>
      <c r="L48" s="2438"/>
      <c r="M48" s="2438"/>
      <c r="N48" s="2438"/>
      <c r="O48" s="2438"/>
      <c r="P48" s="2438"/>
      <c r="Q48" s="2438"/>
      <c r="R48" s="2439"/>
      <c r="T48" s="897"/>
    </row>
    <row r="49" spans="2:21" ht="12.95" customHeight="1" x14ac:dyDescent="0.2">
      <c r="B49" s="833"/>
      <c r="C49" s="730"/>
      <c r="D49" s="730"/>
      <c r="E49" s="886"/>
      <c r="F49" s="730"/>
      <c r="G49" s="730"/>
      <c r="H49" s="2429"/>
      <c r="I49" s="2429"/>
      <c r="J49" s="2429"/>
      <c r="K49" s="2429"/>
      <c r="L49" s="898"/>
      <c r="M49" s="898"/>
      <c r="N49" s="898"/>
      <c r="O49" s="2431"/>
      <c r="P49" s="2431"/>
      <c r="Q49" s="2431"/>
      <c r="R49" s="718"/>
      <c r="T49" s="899">
        <f>T47-O47</f>
        <v>-2437493153</v>
      </c>
    </row>
    <row r="50" spans="2:21" ht="12.95" customHeight="1" x14ac:dyDescent="0.2">
      <c r="B50" s="833"/>
      <c r="C50" s="730"/>
      <c r="D50" s="730"/>
      <c r="E50" s="730"/>
      <c r="F50" s="730"/>
      <c r="G50" s="730"/>
      <c r="H50" s="730"/>
      <c r="I50" s="114"/>
      <c r="J50" s="114"/>
      <c r="K50" s="114"/>
      <c r="L50" s="114"/>
      <c r="M50" s="2420" t="str">
        <f>'RECAP APBD'!E43</f>
        <v>Banda Aceh,                   2020</v>
      </c>
      <c r="N50" s="2420"/>
      <c r="O50" s="2420"/>
      <c r="P50" s="2420"/>
      <c r="Q50" s="2420"/>
      <c r="R50" s="176"/>
      <c r="T50" s="900"/>
    </row>
    <row r="51" spans="2:21" ht="12.95" customHeight="1" x14ac:dyDescent="0.2">
      <c r="B51" s="833"/>
      <c r="C51" s="730"/>
      <c r="D51" s="730"/>
      <c r="E51" s="730"/>
      <c r="F51" s="730"/>
      <c r="G51" s="730"/>
      <c r="H51" s="22"/>
      <c r="I51" s="22"/>
      <c r="J51" s="22"/>
      <c r="K51" s="22"/>
      <c r="L51" s="202"/>
      <c r="M51" s="2418" t="str">
        <f>'RECAP APBD'!E44</f>
        <v>Pengguna Anggaran</v>
      </c>
      <c r="N51" s="2418"/>
      <c r="O51" s="2418"/>
      <c r="P51" s="2418"/>
      <c r="Q51" s="2418"/>
      <c r="R51" s="115"/>
      <c r="U51" s="720"/>
    </row>
    <row r="52" spans="2:21" ht="12.95" customHeight="1" x14ac:dyDescent="0.2">
      <c r="B52" s="833"/>
      <c r="C52" s="730"/>
      <c r="D52" s="730"/>
      <c r="E52" s="730"/>
      <c r="F52" s="730"/>
      <c r="G52" s="730"/>
      <c r="H52" s="22"/>
      <c r="I52" s="22"/>
      <c r="J52" s="22"/>
      <c r="K52" s="682"/>
      <c r="L52" s="682"/>
      <c r="M52" s="2418" t="str">
        <f>'RECAP APBD'!E45</f>
        <v>Satuan Kerja Perangkat Daerah</v>
      </c>
      <c r="N52" s="2418"/>
      <c r="O52" s="2418"/>
      <c r="P52" s="2418"/>
      <c r="Q52" s="2418"/>
      <c r="R52" s="115"/>
    </row>
    <row r="53" spans="2:21" ht="12.95" customHeight="1" x14ac:dyDescent="0.2">
      <c r="B53" s="833"/>
      <c r="C53" s="730"/>
      <c r="D53" s="730"/>
      <c r="E53" s="730"/>
      <c r="F53" s="730"/>
      <c r="G53" s="730"/>
      <c r="H53" s="22"/>
      <c r="I53" s="22"/>
      <c r="J53" s="22"/>
      <c r="K53" s="682"/>
      <c r="L53" s="682"/>
      <c r="M53" s="683"/>
      <c r="N53" s="683"/>
      <c r="O53" s="683"/>
      <c r="P53" s="683"/>
      <c r="Q53" s="683"/>
      <c r="R53" s="115"/>
      <c r="U53" s="720"/>
    </row>
    <row r="54" spans="2:21" ht="12.95" customHeight="1" x14ac:dyDescent="0.2">
      <c r="B54" s="833"/>
      <c r="C54" s="730"/>
      <c r="D54" s="730"/>
      <c r="E54" s="730"/>
      <c r="F54" s="730"/>
      <c r="G54" s="730"/>
      <c r="H54" s="114"/>
      <c r="I54" s="114"/>
      <c r="J54" s="114"/>
      <c r="K54" s="114"/>
      <c r="L54" s="114"/>
      <c r="M54" s="683"/>
      <c r="N54" s="2430"/>
      <c r="O54" s="2430"/>
      <c r="P54" s="2430"/>
      <c r="Q54" s="2430"/>
      <c r="R54" s="176"/>
      <c r="U54" s="893"/>
    </row>
    <row r="55" spans="2:21" ht="12.95" customHeight="1" x14ac:dyDescent="0.2">
      <c r="B55" s="833"/>
      <c r="C55" s="730"/>
      <c r="D55" s="730"/>
      <c r="E55" s="730"/>
      <c r="F55" s="730"/>
      <c r="G55" s="730"/>
      <c r="H55" s="2419"/>
      <c r="I55" s="2167"/>
      <c r="J55" s="2167"/>
      <c r="K55" s="2167"/>
      <c r="L55" s="131"/>
      <c r="M55" s="2199" t="str">
        <f>'RECAP APBD'!E48</f>
        <v>Bustami, SH</v>
      </c>
      <c r="N55" s="2199"/>
      <c r="O55" s="2199"/>
      <c r="P55" s="2199"/>
      <c r="Q55" s="2199"/>
      <c r="R55" s="147"/>
      <c r="U55" s="720"/>
    </row>
    <row r="56" spans="2:21" ht="12.95" customHeight="1" x14ac:dyDescent="0.2">
      <c r="B56" s="833"/>
      <c r="C56" s="730"/>
      <c r="D56" s="730"/>
      <c r="E56" s="730"/>
      <c r="F56" s="730"/>
      <c r="G56" s="730"/>
      <c r="H56" s="116"/>
      <c r="I56" s="116"/>
      <c r="J56" s="116"/>
      <c r="K56" s="116"/>
      <c r="L56" s="116"/>
      <c r="M56" s="2172" t="str">
        <f>'RECAP APBD'!E49</f>
        <v>Pembina Utama Muda / Nip. 19630824 198703 1 004</v>
      </c>
      <c r="N56" s="2172"/>
      <c r="O56" s="2172"/>
      <c r="P56" s="2172"/>
      <c r="Q56" s="2172"/>
      <c r="R56" s="177"/>
      <c r="T56" s="720"/>
      <c r="U56" s="725"/>
    </row>
    <row r="57" spans="2:21" ht="12.95" customHeight="1" x14ac:dyDescent="0.2">
      <c r="B57" s="833"/>
      <c r="C57" s="730"/>
      <c r="D57" s="730"/>
      <c r="E57" s="730"/>
      <c r="F57" s="730"/>
      <c r="G57" s="730"/>
      <c r="H57" s="114"/>
      <c r="I57" s="114"/>
      <c r="J57" s="114"/>
      <c r="K57" s="22"/>
      <c r="L57" s="22"/>
      <c r="M57" s="22"/>
      <c r="N57" s="22"/>
      <c r="O57" s="22"/>
      <c r="P57" s="22"/>
      <c r="Q57" s="22"/>
      <c r="R57" s="115"/>
    </row>
    <row r="58" spans="2:21" ht="12.95" customHeight="1" thickBot="1" x14ac:dyDescent="0.25">
      <c r="B58" s="901"/>
      <c r="C58" s="902"/>
      <c r="D58" s="902"/>
      <c r="E58" s="902"/>
      <c r="F58" s="902"/>
      <c r="G58" s="902"/>
      <c r="H58" s="902"/>
      <c r="I58" s="902"/>
      <c r="J58" s="902"/>
      <c r="K58" s="146"/>
      <c r="L58" s="146"/>
      <c r="M58" s="146"/>
      <c r="N58" s="146"/>
      <c r="O58" s="146"/>
      <c r="P58" s="146"/>
      <c r="Q58" s="146"/>
      <c r="R58" s="903"/>
      <c r="T58" s="721"/>
    </row>
    <row r="59" spans="2:21" ht="13.5" thickTop="1" x14ac:dyDescent="0.2">
      <c r="D59" s="730"/>
      <c r="E59" s="730"/>
      <c r="F59" s="730"/>
      <c r="G59" s="730"/>
      <c r="H59" s="730"/>
      <c r="I59" s="730"/>
      <c r="J59" s="730"/>
      <c r="K59" s="730"/>
      <c r="L59" s="730"/>
      <c r="M59" s="730"/>
      <c r="N59" s="730"/>
      <c r="O59" s="730"/>
      <c r="P59" s="730"/>
      <c r="Q59" s="730"/>
      <c r="R59" s="730"/>
    </row>
    <row r="60" spans="2:21" x14ac:dyDescent="0.2">
      <c r="D60" s="730"/>
      <c r="E60" s="730"/>
      <c r="F60" s="730"/>
      <c r="G60" s="730"/>
      <c r="H60" s="730"/>
      <c r="I60" s="730"/>
      <c r="J60" s="730"/>
      <c r="K60" s="730"/>
      <c r="L60" s="730"/>
      <c r="M60" s="730"/>
      <c r="N60" s="730"/>
      <c r="O60" s="730"/>
      <c r="P60" s="730"/>
      <c r="Q60" s="730"/>
      <c r="R60" s="730"/>
    </row>
    <row r="61" spans="2:21" x14ac:dyDescent="0.2">
      <c r="D61" s="730"/>
      <c r="E61" s="730"/>
      <c r="F61" s="730"/>
      <c r="G61" s="730"/>
      <c r="H61" s="730"/>
      <c r="I61" s="730"/>
      <c r="J61" s="730"/>
      <c r="K61" s="730"/>
      <c r="L61" s="730"/>
      <c r="M61" s="730"/>
      <c r="N61" s="730"/>
      <c r="O61" s="730"/>
      <c r="P61" s="730"/>
      <c r="Q61" s="730"/>
      <c r="R61" s="730"/>
    </row>
    <row r="62" spans="2:21" x14ac:dyDescent="0.2">
      <c r="D62" s="730"/>
      <c r="E62" s="730"/>
      <c r="F62" s="730"/>
      <c r="G62" s="730"/>
      <c r="H62" s="730"/>
      <c r="I62" s="730"/>
      <c r="J62" s="730"/>
      <c r="K62" s="730"/>
      <c r="L62" s="730"/>
      <c r="M62" s="730"/>
      <c r="N62" s="730"/>
      <c r="O62" s="730"/>
      <c r="P62" s="730"/>
      <c r="Q62" s="730"/>
      <c r="R62" s="730"/>
      <c r="T62" s="715">
        <v>23471159240</v>
      </c>
    </row>
    <row r="63" spans="2:21" x14ac:dyDescent="0.2">
      <c r="D63" s="730"/>
      <c r="E63" s="730"/>
      <c r="F63" s="730"/>
      <c r="G63" s="730"/>
      <c r="H63" s="730"/>
      <c r="I63" s="730"/>
      <c r="J63" s="730"/>
      <c r="K63" s="730"/>
      <c r="L63" s="730"/>
      <c r="M63" s="904"/>
      <c r="N63" s="730"/>
      <c r="O63" s="730"/>
      <c r="P63" s="730"/>
      <c r="Q63" s="730"/>
      <c r="R63" s="730"/>
    </row>
    <row r="64" spans="2:21" x14ac:dyDescent="0.2">
      <c r="D64" s="730"/>
      <c r="E64" s="730"/>
      <c r="F64" s="730"/>
      <c r="G64" s="730"/>
      <c r="H64" s="730"/>
      <c r="I64" s="730"/>
      <c r="J64" s="730"/>
      <c r="K64" s="730"/>
      <c r="L64" s="302"/>
      <c r="M64" s="302"/>
      <c r="N64" s="302"/>
      <c r="O64" s="730"/>
      <c r="P64" s="730"/>
      <c r="Q64" s="730"/>
      <c r="R64" s="730"/>
    </row>
    <row r="65" spans="4:18" x14ac:dyDescent="0.2">
      <c r="D65" s="730"/>
      <c r="E65" s="730"/>
      <c r="F65" s="730"/>
      <c r="G65" s="730"/>
      <c r="H65" s="730"/>
      <c r="I65" s="730"/>
      <c r="J65" s="730"/>
      <c r="K65" s="730"/>
      <c r="L65" s="302"/>
      <c r="M65" s="302"/>
      <c r="N65" s="302"/>
      <c r="O65" s="730"/>
      <c r="P65" s="730"/>
      <c r="Q65" s="730"/>
      <c r="R65" s="730"/>
    </row>
    <row r="66" spans="4:18" x14ac:dyDescent="0.2">
      <c r="D66" s="730"/>
      <c r="E66" s="730"/>
      <c r="F66" s="730"/>
      <c r="G66" s="730"/>
      <c r="H66" s="730"/>
      <c r="I66" s="730"/>
      <c r="J66" s="730"/>
      <c r="K66" s="730"/>
      <c r="L66" s="302"/>
      <c r="M66" s="302"/>
      <c r="N66" s="302"/>
      <c r="O66" s="730"/>
      <c r="P66" s="730"/>
      <c r="Q66" s="730"/>
      <c r="R66" s="730"/>
    </row>
    <row r="67" spans="4:18" x14ac:dyDescent="0.2">
      <c r="D67" s="730"/>
      <c r="E67" s="730"/>
      <c r="F67" s="730"/>
      <c r="G67" s="730"/>
      <c r="H67" s="730"/>
      <c r="I67" s="730"/>
      <c r="J67" s="730"/>
      <c r="K67" s="730"/>
      <c r="L67" s="302"/>
      <c r="M67" s="302"/>
      <c r="N67" s="302"/>
      <c r="O67" s="730"/>
      <c r="P67" s="730"/>
      <c r="Q67" s="730"/>
      <c r="R67" s="730"/>
    </row>
    <row r="68" spans="4:18" x14ac:dyDescent="0.2">
      <c r="D68" s="730"/>
      <c r="E68" s="730"/>
      <c r="F68" s="730"/>
      <c r="G68" s="730"/>
      <c r="H68" s="730"/>
      <c r="I68" s="730"/>
      <c r="J68" s="730"/>
      <c r="K68" s="730"/>
      <c r="L68" s="302"/>
      <c r="M68" s="302"/>
      <c r="N68" s="302"/>
      <c r="O68" s="730"/>
      <c r="P68" s="730"/>
      <c r="Q68" s="730"/>
      <c r="R68" s="730"/>
    </row>
    <row r="69" spans="4:18" x14ac:dyDescent="0.2">
      <c r="D69" s="730"/>
      <c r="E69" s="730"/>
      <c r="F69" s="730"/>
      <c r="G69" s="730"/>
      <c r="H69" s="730"/>
      <c r="I69" s="730"/>
      <c r="J69" s="730"/>
      <c r="K69" s="730"/>
      <c r="L69" s="302"/>
      <c r="M69" s="302"/>
      <c r="N69" s="302"/>
      <c r="O69" s="730"/>
      <c r="P69" s="730"/>
      <c r="Q69" s="730"/>
      <c r="R69" s="730"/>
    </row>
    <row r="70" spans="4:18" x14ac:dyDescent="0.2">
      <c r="D70" s="730"/>
      <c r="E70" s="730"/>
      <c r="F70" s="730"/>
      <c r="G70" s="730"/>
      <c r="H70" s="730"/>
      <c r="I70" s="730"/>
      <c r="J70" s="730"/>
      <c r="K70" s="730"/>
      <c r="L70" s="302"/>
      <c r="M70" s="302"/>
      <c r="N70" s="302"/>
      <c r="O70" s="730"/>
      <c r="P70" s="730"/>
      <c r="Q70" s="730"/>
      <c r="R70" s="730"/>
    </row>
    <row r="71" spans="4:18" ht="14.25" x14ac:dyDescent="0.2">
      <c r="D71" s="730"/>
      <c r="E71" s="730"/>
      <c r="F71" s="730"/>
      <c r="G71" s="730"/>
      <c r="H71" s="696"/>
      <c r="I71" s="696"/>
      <c r="J71" s="696"/>
      <c r="K71" s="696"/>
      <c r="L71" s="321"/>
      <c r="M71" s="321"/>
      <c r="N71" s="321"/>
      <c r="O71" s="696"/>
      <c r="P71" s="696"/>
      <c r="Q71" s="696"/>
      <c r="R71" s="696"/>
    </row>
    <row r="72" spans="4:18" x14ac:dyDescent="0.2">
      <c r="D72" s="730"/>
      <c r="E72" s="730"/>
      <c r="F72" s="730"/>
      <c r="G72" s="730"/>
      <c r="H72" s="730"/>
      <c r="I72" s="730"/>
      <c r="J72" s="730"/>
      <c r="K72" s="730"/>
      <c r="L72" s="302"/>
      <c r="M72" s="302"/>
      <c r="N72" s="302"/>
      <c r="O72" s="730"/>
      <c r="P72" s="730"/>
      <c r="Q72" s="730"/>
      <c r="R72" s="730"/>
    </row>
    <row r="73" spans="4:18" x14ac:dyDescent="0.2">
      <c r="D73" s="730"/>
      <c r="E73" s="730"/>
      <c r="F73" s="730"/>
      <c r="G73" s="730"/>
      <c r="H73" s="730"/>
      <c r="I73" s="730"/>
      <c r="J73" s="730"/>
      <c r="K73" s="730"/>
      <c r="L73" s="730"/>
      <c r="M73" s="730"/>
      <c r="N73" s="730"/>
      <c r="O73" s="730"/>
      <c r="P73" s="730"/>
      <c r="Q73" s="730"/>
      <c r="R73" s="730"/>
    </row>
  </sheetData>
  <mergeCells count="115">
    <mergeCell ref="W30:X30"/>
    <mergeCell ref="W45:X45"/>
    <mergeCell ref="W32:X32"/>
    <mergeCell ref="B47:K47"/>
    <mergeCell ref="B48:R48"/>
    <mergeCell ref="E46:G46"/>
    <mergeCell ref="O35:Q35"/>
    <mergeCell ref="E45:G45"/>
    <mergeCell ref="O44:Q44"/>
    <mergeCell ref="O43:Q43"/>
    <mergeCell ref="O45:Q45"/>
    <mergeCell ref="O42:Q42"/>
    <mergeCell ref="E32:G32"/>
    <mergeCell ref="H45:I45"/>
    <mergeCell ref="O33:Q33"/>
    <mergeCell ref="O34:Q34"/>
    <mergeCell ref="O40:Q40"/>
    <mergeCell ref="H41:I41"/>
    <mergeCell ref="H42:I42"/>
    <mergeCell ref="H43:I43"/>
    <mergeCell ref="H33:I33"/>
    <mergeCell ref="H38:I38"/>
    <mergeCell ref="O38:Q38"/>
    <mergeCell ref="H44:I44"/>
    <mergeCell ref="M56:Q56"/>
    <mergeCell ref="M52:Q52"/>
    <mergeCell ref="M55:Q55"/>
    <mergeCell ref="H55:K55"/>
    <mergeCell ref="M50:Q50"/>
    <mergeCell ref="H46:I46"/>
    <mergeCell ref="O46:Q46"/>
    <mergeCell ref="M51:Q51"/>
    <mergeCell ref="O47:Q47"/>
    <mergeCell ref="H49:K49"/>
    <mergeCell ref="N54:Q54"/>
    <mergeCell ref="O49:Q49"/>
    <mergeCell ref="H36:I36"/>
    <mergeCell ref="O36:Q36"/>
    <mergeCell ref="O37:Q37"/>
    <mergeCell ref="O39:Q39"/>
    <mergeCell ref="O41:Q41"/>
    <mergeCell ref="H40:I40"/>
    <mergeCell ref="O24:Q24"/>
    <mergeCell ref="B2:D2"/>
    <mergeCell ref="B3:D3"/>
    <mergeCell ref="B4:O4"/>
    <mergeCell ref="B5:O5"/>
    <mergeCell ref="B6:H6"/>
    <mergeCell ref="B7:H7"/>
    <mergeCell ref="B8:R8"/>
    <mergeCell ref="B9:G9"/>
    <mergeCell ref="B10:D12"/>
    <mergeCell ref="P2:R3"/>
    <mergeCell ref="O11:Q12"/>
    <mergeCell ref="K9:K12"/>
    <mergeCell ref="L11:L12"/>
    <mergeCell ref="P4:R5"/>
    <mergeCell ref="E2:O2"/>
    <mergeCell ref="E3:O3"/>
    <mergeCell ref="E10:G12"/>
    <mergeCell ref="I6:R6"/>
    <mergeCell ref="H9:I12"/>
    <mergeCell ref="L9:R9"/>
    <mergeCell ref="I7:R7"/>
    <mergeCell ref="B13:D13"/>
    <mergeCell ref="E27:G27"/>
    <mergeCell ref="E23:G23"/>
    <mergeCell ref="H15:I15"/>
    <mergeCell ref="H14:I14"/>
    <mergeCell ref="E13:G13"/>
    <mergeCell ref="H22:I22"/>
    <mergeCell ref="E14:G14"/>
    <mergeCell ref="H17:I17"/>
    <mergeCell ref="H16:I16"/>
    <mergeCell ref="H18:I18"/>
    <mergeCell ref="H21:I21"/>
    <mergeCell ref="O18:Q18"/>
    <mergeCell ref="H19:I19"/>
    <mergeCell ref="H20:I20"/>
    <mergeCell ref="O21:Q21"/>
    <mergeCell ref="O19:Q19"/>
    <mergeCell ref="O20:Q20"/>
    <mergeCell ref="M11:M12"/>
    <mergeCell ref="O13:Q13"/>
    <mergeCell ref="E29:G29"/>
    <mergeCell ref="H23:I23"/>
    <mergeCell ref="H29:I29"/>
    <mergeCell ref="H30:I30"/>
    <mergeCell ref="H32:I32"/>
    <mergeCell ref="H35:I35"/>
    <mergeCell ref="H24:I24"/>
    <mergeCell ref="H26:I26"/>
    <mergeCell ref="H27:I27"/>
    <mergeCell ref="H28:I28"/>
    <mergeCell ref="H34:I34"/>
    <mergeCell ref="J9:J12"/>
    <mergeCell ref="N11:N12"/>
    <mergeCell ref="L10:Q10"/>
    <mergeCell ref="H13:I13"/>
    <mergeCell ref="O27:Q27"/>
    <mergeCell ref="O32:Q32"/>
    <mergeCell ref="O28:Q28"/>
    <mergeCell ref="O29:Q29"/>
    <mergeCell ref="O30:Q30"/>
    <mergeCell ref="O22:Q22"/>
    <mergeCell ref="H25:I25"/>
    <mergeCell ref="O26:Q26"/>
    <mergeCell ref="O25:Q25"/>
    <mergeCell ref="O23:Q23"/>
    <mergeCell ref="O14:Q14"/>
    <mergeCell ref="O16:Q16"/>
    <mergeCell ref="O15:Q15"/>
    <mergeCell ref="O17:Q17"/>
    <mergeCell ref="H31:I31"/>
    <mergeCell ref="O31:Q31"/>
  </mergeCells>
  <phoneticPr fontId="0" type="noConversion"/>
  <pageMargins left="0.761811024" right="0.27559055118110198" top="0.761811024" bottom="0.47244094488188998" header="0.23622047244094499" footer="0.15748031496063"/>
  <pageSetup paperSize="5" scale="70" orientation="landscape" horizontalDpi="4294967294" verticalDpi="4294967294" r:id="rId1"/>
  <headerFooter alignWithMargins="0"/>
  <rowBreaks count="1" manualBreakCount="1">
    <brk id="36" min="1"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B1:U69"/>
  <sheetViews>
    <sheetView view="pageBreakPreview" topLeftCell="K13" zoomScale="70" zoomScaleNormal="100" zoomScaleSheetLayoutView="70" workbookViewId="0">
      <selection activeCell="P32" sqref="P32"/>
    </sheetView>
  </sheetViews>
  <sheetFormatPr defaultColWidth="8.7109375" defaultRowHeight="12.75" x14ac:dyDescent="0.2"/>
  <cols>
    <col min="1" max="1" width="8.7109375" style="715"/>
    <col min="2" max="11" width="2.7109375" style="715" customWidth="1"/>
    <col min="12" max="12" width="47.5703125" style="715" customWidth="1"/>
    <col min="13" max="13" width="9.85546875" style="715" customWidth="1"/>
    <col min="14" max="14" width="8.5703125" style="715" customWidth="1"/>
    <col min="15" max="15" width="13.5703125" style="715" customWidth="1"/>
    <col min="16" max="17" width="17.5703125" style="715" customWidth="1"/>
    <col min="18" max="18" width="15.85546875" style="715" customWidth="1"/>
    <col min="19" max="19" width="12.28515625" style="715" bestFit="1" customWidth="1"/>
    <col min="20" max="20" width="12.5703125" style="715" customWidth="1"/>
    <col min="21" max="21" width="6.7109375" style="715" customWidth="1"/>
    <col min="22"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241</v>
      </c>
      <c r="C6" s="2463"/>
      <c r="D6" s="2463"/>
      <c r="E6" s="2463"/>
      <c r="F6" s="2463"/>
      <c r="G6" s="2463"/>
      <c r="H6" s="2463"/>
      <c r="I6" s="2463"/>
      <c r="J6" s="2463"/>
      <c r="K6" s="2463"/>
      <c r="L6" s="684" t="s">
        <v>442</v>
      </c>
      <c r="M6" s="2444" t="s">
        <v>437</v>
      </c>
      <c r="N6" s="2444"/>
      <c r="O6" s="2444"/>
      <c r="P6" s="121"/>
      <c r="Q6" s="318"/>
    </row>
    <row r="7" spans="2:17" ht="12.95" customHeight="1" x14ac:dyDescent="0.2">
      <c r="B7" s="2471" t="s">
        <v>242</v>
      </c>
      <c r="C7" s="2355"/>
      <c r="D7" s="2355"/>
      <c r="E7" s="2355"/>
      <c r="F7" s="2355"/>
      <c r="G7" s="2355"/>
      <c r="H7" s="2355"/>
      <c r="I7" s="2355"/>
      <c r="J7" s="2355"/>
      <c r="K7" s="2355"/>
      <c r="L7" s="654" t="s">
        <v>441</v>
      </c>
      <c r="M7" s="2472" t="s">
        <v>466</v>
      </c>
      <c r="N7" s="2472"/>
      <c r="O7" s="2472"/>
      <c r="P7" s="2473"/>
      <c r="Q7" s="2041"/>
    </row>
    <row r="8" spans="2:17" ht="12.95" customHeight="1" x14ac:dyDescent="0.2">
      <c r="B8" s="2471" t="s">
        <v>243</v>
      </c>
      <c r="C8" s="2355"/>
      <c r="D8" s="2355"/>
      <c r="E8" s="2355"/>
      <c r="F8" s="2355"/>
      <c r="G8" s="2355"/>
      <c r="H8" s="2355"/>
      <c r="I8" s="2355"/>
      <c r="J8" s="2355"/>
      <c r="K8" s="2355"/>
      <c r="L8" s="654" t="s">
        <v>443</v>
      </c>
      <c r="M8" s="2303" t="s">
        <v>124</v>
      </c>
      <c r="N8" s="2303"/>
      <c r="O8" s="2303"/>
      <c r="P8" s="2304"/>
      <c r="Q8" s="2042"/>
    </row>
    <row r="9" spans="2:17" s="717" customFormat="1" ht="24.6" customHeight="1" x14ac:dyDescent="0.2">
      <c r="B9" s="2477" t="s">
        <v>244</v>
      </c>
      <c r="C9" s="2478"/>
      <c r="D9" s="2478"/>
      <c r="E9" s="2478"/>
      <c r="F9" s="2478"/>
      <c r="G9" s="2478"/>
      <c r="H9" s="2478"/>
      <c r="I9" s="2478"/>
      <c r="J9" s="2478"/>
      <c r="K9" s="2478"/>
      <c r="L9" s="1526" t="s">
        <v>444</v>
      </c>
      <c r="M9" s="2170" t="s">
        <v>834</v>
      </c>
      <c r="N9" s="2170"/>
      <c r="O9" s="2170"/>
      <c r="P9" s="2171"/>
      <c r="Q9" s="875"/>
    </row>
    <row r="10" spans="2:17" s="717" customFormat="1" ht="12.95" customHeight="1" x14ac:dyDescent="0.2">
      <c r="B10" s="685"/>
      <c r="C10" s="686"/>
      <c r="D10" s="686"/>
      <c r="E10" s="686"/>
      <c r="F10" s="686"/>
      <c r="G10" s="686"/>
      <c r="H10" s="686"/>
      <c r="I10" s="686"/>
      <c r="J10" s="686"/>
      <c r="K10" s="686"/>
      <c r="L10" s="654"/>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76626000</v>
      </c>
      <c r="M12" s="35"/>
      <c r="N12" s="35"/>
      <c r="O12" s="35"/>
      <c r="P12" s="77"/>
      <c r="Q12" s="2045"/>
    </row>
    <row r="13" spans="2:17" ht="12.95" customHeight="1" x14ac:dyDescent="0.2">
      <c r="B13" s="2471" t="s">
        <v>223</v>
      </c>
      <c r="C13" s="2355"/>
      <c r="D13" s="2355"/>
      <c r="E13" s="2355"/>
      <c r="F13" s="2355"/>
      <c r="G13" s="2355"/>
      <c r="H13" s="2355"/>
      <c r="I13" s="2355"/>
      <c r="J13" s="2355"/>
      <c r="K13" s="2355"/>
      <c r="L13" s="399">
        <f>O18</f>
        <v>58926000</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61872300</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20" ht="12.95" customHeight="1" x14ac:dyDescent="0.2">
      <c r="B17" s="2454" t="s">
        <v>37</v>
      </c>
      <c r="C17" s="2286"/>
      <c r="D17" s="2286"/>
      <c r="E17" s="2286"/>
      <c r="F17" s="2286"/>
      <c r="G17" s="2286"/>
      <c r="H17" s="2286"/>
      <c r="I17" s="2286"/>
      <c r="J17" s="2286"/>
      <c r="K17" s="2455"/>
      <c r="L17" s="2456" t="s">
        <v>699</v>
      </c>
      <c r="M17" s="2457"/>
      <c r="N17" s="2458"/>
      <c r="O17" s="2474">
        <v>1</v>
      </c>
      <c r="P17" s="2229"/>
      <c r="Q17" s="2028"/>
    </row>
    <row r="18" spans="2:20" ht="12.95" customHeight="1" x14ac:dyDescent="0.2">
      <c r="B18" s="2454" t="s">
        <v>228</v>
      </c>
      <c r="C18" s="2286"/>
      <c r="D18" s="2286"/>
      <c r="E18" s="2286"/>
      <c r="F18" s="2286"/>
      <c r="G18" s="2286"/>
      <c r="H18" s="2286"/>
      <c r="I18" s="2286"/>
      <c r="J18" s="2286"/>
      <c r="K18" s="2455"/>
      <c r="L18" s="2456" t="s">
        <v>257</v>
      </c>
      <c r="M18" s="2457"/>
      <c r="N18" s="2458"/>
      <c r="O18" s="2459">
        <f>P30</f>
        <v>58926000</v>
      </c>
      <c r="P18" s="2460"/>
      <c r="Q18" s="2028"/>
    </row>
    <row r="19" spans="2:20" ht="12.95" customHeight="1" x14ac:dyDescent="0.2">
      <c r="B19" s="2454" t="s">
        <v>229</v>
      </c>
      <c r="C19" s="2286"/>
      <c r="D19" s="2286"/>
      <c r="E19" s="2286"/>
      <c r="F19" s="2286"/>
      <c r="G19" s="2286"/>
      <c r="H19" s="2286"/>
      <c r="I19" s="2286"/>
      <c r="J19" s="2286"/>
      <c r="K19" s="2455"/>
      <c r="L19" s="2456" t="s">
        <v>680</v>
      </c>
      <c r="M19" s="2457"/>
      <c r="N19" s="2458"/>
      <c r="O19" s="2461" t="s">
        <v>255</v>
      </c>
      <c r="P19" s="2460"/>
      <c r="Q19" s="2028"/>
    </row>
    <row r="20" spans="2:20" ht="12.95" customHeight="1" x14ac:dyDescent="0.2">
      <c r="B20" s="2454" t="s">
        <v>230</v>
      </c>
      <c r="C20" s="2286"/>
      <c r="D20" s="2286"/>
      <c r="E20" s="2286"/>
      <c r="F20" s="2286"/>
      <c r="G20" s="2286"/>
      <c r="H20" s="2286"/>
      <c r="I20" s="2286"/>
      <c r="J20" s="2286"/>
      <c r="K20" s="2455"/>
      <c r="L20" s="2456" t="s">
        <v>700</v>
      </c>
      <c r="M20" s="2457"/>
      <c r="N20" s="2458"/>
      <c r="O20" s="2474">
        <v>1</v>
      </c>
      <c r="P20" s="2229"/>
      <c r="Q20" s="2028"/>
    </row>
    <row r="21" spans="2:20" ht="6.95" customHeight="1" x14ac:dyDescent="0.2">
      <c r="B21" s="2445"/>
      <c r="C21" s="2446"/>
      <c r="D21" s="2446"/>
      <c r="E21" s="2446"/>
      <c r="F21" s="2446"/>
      <c r="G21" s="2446"/>
      <c r="H21" s="2446"/>
      <c r="I21" s="2446"/>
      <c r="J21" s="2446"/>
      <c r="K21" s="2446"/>
      <c r="L21" s="2446"/>
      <c r="M21" s="2446"/>
      <c r="N21" s="2446"/>
      <c r="O21" s="2446"/>
      <c r="P21" s="2447"/>
      <c r="Q21" s="2046"/>
    </row>
    <row r="22" spans="2:20" ht="12.95" customHeight="1" x14ac:dyDescent="0.2">
      <c r="B22" s="2215" t="s">
        <v>536</v>
      </c>
      <c r="C22" s="2216"/>
      <c r="D22" s="2216"/>
      <c r="E22" s="2216"/>
      <c r="F22" s="2216"/>
      <c r="G22" s="2216"/>
      <c r="H22" s="2216"/>
      <c r="I22" s="2216"/>
      <c r="J22" s="2216"/>
      <c r="K22" s="2216"/>
      <c r="L22" s="2216"/>
      <c r="M22" s="2216"/>
      <c r="N22" s="2216"/>
      <c r="O22" s="2216"/>
      <c r="P22" s="2486"/>
      <c r="Q22" s="2022"/>
    </row>
    <row r="23" spans="2:20" ht="12.95" customHeight="1" x14ac:dyDescent="0.2">
      <c r="B23" s="2487" t="s">
        <v>231</v>
      </c>
      <c r="C23" s="2488"/>
      <c r="D23" s="2488"/>
      <c r="E23" s="2488"/>
      <c r="F23" s="2488"/>
      <c r="G23" s="2488"/>
      <c r="H23" s="2488"/>
      <c r="I23" s="2488"/>
      <c r="J23" s="2488"/>
      <c r="K23" s="2488"/>
      <c r="L23" s="2488"/>
      <c r="M23" s="2488"/>
      <c r="N23" s="2488"/>
      <c r="O23" s="2488"/>
      <c r="P23" s="2489"/>
      <c r="Q23" s="520"/>
    </row>
    <row r="24" spans="2:20" ht="12.95" customHeight="1" x14ac:dyDescent="0.2">
      <c r="B24" s="2490" t="s">
        <v>38</v>
      </c>
      <c r="C24" s="2491"/>
      <c r="D24" s="2491"/>
      <c r="E24" s="2491"/>
      <c r="F24" s="2491"/>
      <c r="G24" s="2491"/>
      <c r="H24" s="2491"/>
      <c r="I24" s="2491"/>
      <c r="J24" s="2491"/>
      <c r="K24" s="2491"/>
      <c r="L24" s="2491"/>
      <c r="M24" s="2491"/>
      <c r="N24" s="2491"/>
      <c r="O24" s="2491"/>
      <c r="P24" s="2492"/>
      <c r="Q24" s="520"/>
    </row>
    <row r="25" spans="2:20"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20"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20"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20" ht="12.95" customHeight="1" x14ac:dyDescent="0.2">
      <c r="B28" s="2451"/>
      <c r="C28" s="2452"/>
      <c r="D28" s="2452"/>
      <c r="E28" s="2452"/>
      <c r="F28" s="2452"/>
      <c r="G28" s="2452"/>
      <c r="H28" s="2452"/>
      <c r="I28" s="2452"/>
      <c r="J28" s="2452"/>
      <c r="K28" s="2453"/>
      <c r="L28" s="2497"/>
      <c r="M28" s="2497"/>
      <c r="N28" s="2497"/>
      <c r="O28" s="2406"/>
      <c r="P28" s="719"/>
      <c r="Q28" s="2047"/>
    </row>
    <row r="29" spans="2:20" ht="12.95" customHeight="1" thickBot="1" x14ac:dyDescent="0.25">
      <c r="B29" s="2483">
        <v>1</v>
      </c>
      <c r="C29" s="2484"/>
      <c r="D29" s="2484"/>
      <c r="E29" s="2484"/>
      <c r="F29" s="2484"/>
      <c r="G29" s="2484"/>
      <c r="H29" s="2484"/>
      <c r="I29" s="2484"/>
      <c r="J29" s="2484"/>
      <c r="K29" s="2485"/>
      <c r="L29" s="690">
        <v>2</v>
      </c>
      <c r="M29" s="690">
        <v>3</v>
      </c>
      <c r="N29" s="690">
        <v>4</v>
      </c>
      <c r="O29" s="12">
        <v>5</v>
      </c>
      <c r="P29" s="79" t="s">
        <v>24</v>
      </c>
      <c r="Q29" s="2027"/>
    </row>
    <row r="30" spans="2:20" ht="12.95" customHeight="1" thickTop="1" x14ac:dyDescent="0.2">
      <c r="B30" s="80">
        <v>1</v>
      </c>
      <c r="C30" s="33" t="s">
        <v>440</v>
      </c>
      <c r="D30" s="33" t="s">
        <v>142</v>
      </c>
      <c r="E30" s="687"/>
      <c r="F30" s="46"/>
      <c r="G30" s="688">
        <v>5</v>
      </c>
      <c r="H30" s="688">
        <v>2</v>
      </c>
      <c r="I30" s="688"/>
      <c r="J30" s="688"/>
      <c r="K30" s="688"/>
      <c r="L30" s="28" t="s">
        <v>108</v>
      </c>
      <c r="M30" s="16"/>
      <c r="N30" s="16"/>
      <c r="O30" s="18"/>
      <c r="P30" s="88">
        <f>P31</f>
        <v>58926000</v>
      </c>
      <c r="Q30" s="2048">
        <v>75426000</v>
      </c>
      <c r="R30" s="720">
        <f>L12</f>
        <v>76626000</v>
      </c>
    </row>
    <row r="31" spans="2:20" ht="12.95" customHeight="1" x14ac:dyDescent="0.2">
      <c r="B31" s="80">
        <v>1</v>
      </c>
      <c r="C31" s="33" t="s">
        <v>440</v>
      </c>
      <c r="D31" s="33" t="s">
        <v>142</v>
      </c>
      <c r="E31" s="689" t="s">
        <v>142</v>
      </c>
      <c r="F31" s="46"/>
      <c r="G31" s="688"/>
      <c r="H31" s="688"/>
      <c r="I31" s="688"/>
      <c r="J31" s="688"/>
      <c r="K31" s="688"/>
      <c r="L31" s="25" t="s">
        <v>179</v>
      </c>
      <c r="M31" s="1412"/>
      <c r="N31" s="16"/>
      <c r="O31" s="18"/>
      <c r="P31" s="89">
        <f>P32</f>
        <v>58926000</v>
      </c>
      <c r="Q31" s="2049"/>
      <c r="R31" s="721">
        <f>P31-R30</f>
        <v>-17700000</v>
      </c>
      <c r="S31" s="725"/>
      <c r="T31" s="817"/>
    </row>
    <row r="32" spans="2:20" ht="12.95" customHeight="1" x14ac:dyDescent="0.2">
      <c r="B32" s="80">
        <v>1</v>
      </c>
      <c r="C32" s="33" t="s">
        <v>440</v>
      </c>
      <c r="D32" s="33" t="s">
        <v>142</v>
      </c>
      <c r="E32" s="689" t="s">
        <v>142</v>
      </c>
      <c r="F32" s="47" t="s">
        <v>145</v>
      </c>
      <c r="G32" s="688"/>
      <c r="H32" s="688"/>
      <c r="I32" s="688"/>
      <c r="J32" s="688"/>
      <c r="K32" s="33"/>
      <c r="L32" s="25" t="s">
        <v>141</v>
      </c>
      <c r="M32" s="1412"/>
      <c r="N32" s="16"/>
      <c r="O32" s="18"/>
      <c r="P32" s="89">
        <f>P34</f>
        <v>58926000</v>
      </c>
      <c r="Q32" s="2049"/>
      <c r="R32" s="725"/>
    </row>
    <row r="33" spans="2:21" ht="12.95" customHeight="1" x14ac:dyDescent="0.2">
      <c r="B33" s="80"/>
      <c r="C33" s="33"/>
      <c r="D33" s="33"/>
      <c r="E33" s="689"/>
      <c r="F33" s="47"/>
      <c r="G33" s="688"/>
      <c r="H33" s="688"/>
      <c r="I33" s="688"/>
      <c r="J33" s="688"/>
      <c r="K33" s="33"/>
      <c r="L33" s="25"/>
      <c r="M33" s="1412"/>
      <c r="N33" s="16"/>
      <c r="O33" s="18"/>
      <c r="P33" s="95"/>
      <c r="Q33" s="1186"/>
    </row>
    <row r="34" spans="2:21" ht="12.95" customHeight="1" x14ac:dyDescent="0.2">
      <c r="B34" s="80">
        <v>1</v>
      </c>
      <c r="C34" s="33" t="s">
        <v>440</v>
      </c>
      <c r="D34" s="33" t="s">
        <v>142</v>
      </c>
      <c r="E34" s="689" t="s">
        <v>142</v>
      </c>
      <c r="F34" s="47" t="s">
        <v>145</v>
      </c>
      <c r="G34" s="688">
        <v>5</v>
      </c>
      <c r="H34" s="688">
        <v>2</v>
      </c>
      <c r="I34" s="688">
        <v>2</v>
      </c>
      <c r="J34" s="688"/>
      <c r="K34" s="688"/>
      <c r="L34" s="56" t="s">
        <v>120</v>
      </c>
      <c r="M34" s="1122"/>
      <c r="N34" s="185"/>
      <c r="O34" s="262"/>
      <c r="P34" s="259">
        <f>P35</f>
        <v>58926000</v>
      </c>
      <c r="Q34" s="301"/>
      <c r="S34" s="818" t="s">
        <v>74</v>
      </c>
    </row>
    <row r="35" spans="2:21" ht="12.95" customHeight="1" x14ac:dyDescent="0.2">
      <c r="B35" s="80">
        <v>1</v>
      </c>
      <c r="C35" s="33" t="s">
        <v>440</v>
      </c>
      <c r="D35" s="33" t="s">
        <v>142</v>
      </c>
      <c r="E35" s="689" t="s">
        <v>142</v>
      </c>
      <c r="F35" s="47" t="s">
        <v>145</v>
      </c>
      <c r="G35" s="688">
        <v>5</v>
      </c>
      <c r="H35" s="688">
        <v>2</v>
      </c>
      <c r="I35" s="688">
        <v>2</v>
      </c>
      <c r="J35" s="33" t="s">
        <v>164</v>
      </c>
      <c r="K35" s="688"/>
      <c r="L35" s="117" t="s">
        <v>112</v>
      </c>
      <c r="M35" s="1122"/>
      <c r="N35" s="185"/>
      <c r="O35" s="262"/>
      <c r="P35" s="260">
        <f>P36+P38+P40+P42</f>
        <v>58926000</v>
      </c>
      <c r="Q35" s="1188"/>
      <c r="R35" s="2515" t="s">
        <v>549</v>
      </c>
      <c r="S35" s="2516"/>
    </row>
    <row r="36" spans="2:21" ht="12.95" customHeight="1" x14ac:dyDescent="0.2">
      <c r="B36" s="80">
        <v>1</v>
      </c>
      <c r="C36" s="33" t="s">
        <v>440</v>
      </c>
      <c r="D36" s="33" t="s">
        <v>142</v>
      </c>
      <c r="E36" s="689" t="s">
        <v>142</v>
      </c>
      <c r="F36" s="47" t="s">
        <v>145</v>
      </c>
      <c r="G36" s="688">
        <v>5</v>
      </c>
      <c r="H36" s="688">
        <v>2</v>
      </c>
      <c r="I36" s="688">
        <v>2</v>
      </c>
      <c r="J36" s="33" t="s">
        <v>164</v>
      </c>
      <c r="K36" s="33" t="s">
        <v>145</v>
      </c>
      <c r="L36" s="117" t="s">
        <v>129</v>
      </c>
      <c r="M36" s="1122"/>
      <c r="N36" s="185"/>
      <c r="O36" s="262"/>
      <c r="P36" s="819">
        <f>+P37</f>
        <v>2100000</v>
      </c>
      <c r="Q36" s="2050"/>
    </row>
    <row r="37" spans="2:21" ht="12.95" customHeight="1" x14ac:dyDescent="0.2">
      <c r="B37" s="80"/>
      <c r="C37" s="688"/>
      <c r="D37" s="688"/>
      <c r="E37" s="687"/>
      <c r="F37" s="46"/>
      <c r="G37" s="688"/>
      <c r="H37" s="688"/>
      <c r="I37" s="688"/>
      <c r="J37" s="688"/>
      <c r="K37" s="688"/>
      <c r="L37" s="71" t="s">
        <v>276</v>
      </c>
      <c r="M37" s="1122">
        <v>1</v>
      </c>
      <c r="N37" s="185" t="s">
        <v>122</v>
      </c>
      <c r="O37" s="270">
        <v>2100000</v>
      </c>
      <c r="P37" s="819">
        <f>O37*M37</f>
        <v>2100000</v>
      </c>
      <c r="Q37" s="2050"/>
      <c r="S37" s="782">
        <f>O37/12</f>
        <v>175000</v>
      </c>
      <c r="T37" s="820" t="s">
        <v>328</v>
      </c>
    </row>
    <row r="38" spans="2:21" ht="12.95" customHeight="1" x14ac:dyDescent="0.2">
      <c r="B38" s="80">
        <v>1</v>
      </c>
      <c r="C38" s="33" t="s">
        <v>440</v>
      </c>
      <c r="D38" s="33" t="s">
        <v>142</v>
      </c>
      <c r="E38" s="689" t="s">
        <v>142</v>
      </c>
      <c r="F38" s="47" t="s">
        <v>145</v>
      </c>
      <c r="G38" s="688">
        <v>5</v>
      </c>
      <c r="H38" s="688">
        <v>2</v>
      </c>
      <c r="I38" s="688">
        <v>2</v>
      </c>
      <c r="J38" s="33" t="s">
        <v>164</v>
      </c>
      <c r="K38" s="33" t="s">
        <v>164</v>
      </c>
      <c r="L38" s="117" t="s">
        <v>130</v>
      </c>
      <c r="M38" s="776"/>
      <c r="N38" s="185"/>
      <c r="O38" s="262"/>
      <c r="P38" s="819">
        <f>SUM(P39:P39)</f>
        <v>49500000</v>
      </c>
      <c r="Q38" s="2050"/>
    </row>
    <row r="39" spans="2:21" ht="12.95" customHeight="1" x14ac:dyDescent="0.2">
      <c r="B39" s="80"/>
      <c r="C39" s="688"/>
      <c r="D39" s="688"/>
      <c r="E39" s="687"/>
      <c r="F39" s="46"/>
      <c r="G39" s="688"/>
      <c r="H39" s="688"/>
      <c r="I39" s="688"/>
      <c r="J39" s="688"/>
      <c r="K39" s="688"/>
      <c r="L39" s="488" t="s">
        <v>463</v>
      </c>
      <c r="M39" s="776">
        <v>1</v>
      </c>
      <c r="N39" s="185" t="s">
        <v>122</v>
      </c>
      <c r="O39" s="268">
        <v>49500000</v>
      </c>
      <c r="P39" s="819">
        <f>O39*M39</f>
        <v>49500000</v>
      </c>
      <c r="Q39" s="2050"/>
      <c r="S39" s="782">
        <f>O39/12</f>
        <v>4125000</v>
      </c>
      <c r="T39" s="820" t="s">
        <v>328</v>
      </c>
      <c r="U39" s="715" t="s">
        <v>393</v>
      </c>
    </row>
    <row r="40" spans="2:21" ht="12.95" customHeight="1" x14ac:dyDescent="0.2">
      <c r="B40" s="80">
        <v>1</v>
      </c>
      <c r="C40" s="33" t="s">
        <v>440</v>
      </c>
      <c r="D40" s="33" t="s">
        <v>142</v>
      </c>
      <c r="E40" s="689" t="s">
        <v>142</v>
      </c>
      <c r="F40" s="47" t="s">
        <v>145</v>
      </c>
      <c r="G40" s="688">
        <v>5</v>
      </c>
      <c r="H40" s="688">
        <v>2</v>
      </c>
      <c r="I40" s="688">
        <v>2</v>
      </c>
      <c r="J40" s="33" t="s">
        <v>164</v>
      </c>
      <c r="K40" s="69" t="s">
        <v>144</v>
      </c>
      <c r="L40" s="182" t="s">
        <v>363</v>
      </c>
      <c r="M40" s="776"/>
      <c r="N40" s="821"/>
      <c r="O40" s="822"/>
      <c r="P40" s="823">
        <f>SUM(P41)</f>
        <v>5526000</v>
      </c>
      <c r="Q40" s="2050"/>
      <c r="S40" s="720">
        <v>45000000</v>
      </c>
      <c r="T40" s="715" t="s">
        <v>359</v>
      </c>
      <c r="U40" s="824"/>
    </row>
    <row r="41" spans="2:21" ht="12.95" customHeight="1" x14ac:dyDescent="0.2">
      <c r="B41" s="84"/>
      <c r="C41" s="69"/>
      <c r="D41" s="69"/>
      <c r="E41" s="286"/>
      <c r="F41" s="802"/>
      <c r="G41" s="39"/>
      <c r="H41" s="39"/>
      <c r="I41" s="39"/>
      <c r="J41" s="69"/>
      <c r="K41" s="69"/>
      <c r="L41" s="489" t="s">
        <v>470</v>
      </c>
      <c r="M41" s="1421">
        <v>1</v>
      </c>
      <c r="N41" s="825" t="s">
        <v>122</v>
      </c>
      <c r="O41" s="826">
        <v>5526000</v>
      </c>
      <c r="P41" s="267">
        <f>O41*M41</f>
        <v>5526000</v>
      </c>
      <c r="Q41" s="1437"/>
      <c r="S41" s="720"/>
      <c r="U41" s="824"/>
    </row>
    <row r="42" spans="2:21" ht="12.95" customHeight="1" x14ac:dyDescent="0.2">
      <c r="B42" s="80">
        <v>1</v>
      </c>
      <c r="C42" s="33" t="s">
        <v>440</v>
      </c>
      <c r="D42" s="33" t="s">
        <v>142</v>
      </c>
      <c r="E42" s="689" t="s">
        <v>142</v>
      </c>
      <c r="F42" s="47" t="s">
        <v>145</v>
      </c>
      <c r="G42" s="688">
        <v>5</v>
      </c>
      <c r="H42" s="688">
        <v>2</v>
      </c>
      <c r="I42" s="688">
        <v>2</v>
      </c>
      <c r="J42" s="33" t="s">
        <v>164</v>
      </c>
      <c r="K42" s="33">
        <v>14</v>
      </c>
      <c r="L42" s="23" t="s">
        <v>268</v>
      </c>
      <c r="M42" s="1122"/>
      <c r="N42" s="185"/>
      <c r="O42" s="262"/>
      <c r="P42" s="769">
        <f>SUM(P43:P43)</f>
        <v>1800000</v>
      </c>
      <c r="Q42" s="1474"/>
      <c r="S42" s="720"/>
      <c r="U42" s="824"/>
    </row>
    <row r="43" spans="2:21" ht="12.95" customHeight="1" x14ac:dyDescent="0.2">
      <c r="B43" s="80"/>
      <c r="C43" s="688"/>
      <c r="D43" s="688"/>
      <c r="E43" s="687"/>
      <c r="F43" s="46"/>
      <c r="G43" s="688"/>
      <c r="H43" s="688"/>
      <c r="I43" s="688"/>
      <c r="J43" s="688"/>
      <c r="K43" s="688"/>
      <c r="L43" s="71" t="s">
        <v>364</v>
      </c>
      <c r="M43" s="1122">
        <v>1</v>
      </c>
      <c r="N43" s="185" t="s">
        <v>122</v>
      </c>
      <c r="O43" s="270">
        <v>1800000</v>
      </c>
      <c r="P43" s="260">
        <f>O43*M43</f>
        <v>1800000</v>
      </c>
      <c r="Q43" s="1188"/>
      <c r="S43" s="720"/>
      <c r="U43" s="824"/>
    </row>
    <row r="44" spans="2:21" ht="12.95" customHeight="1" x14ac:dyDescent="0.2">
      <c r="B44" s="85"/>
      <c r="C44" s="693"/>
      <c r="D44" s="693"/>
      <c r="E44" s="692"/>
      <c r="F44" s="792"/>
      <c r="G44" s="693"/>
      <c r="H44" s="693"/>
      <c r="I44" s="693"/>
      <c r="J44" s="693"/>
      <c r="K44" s="693"/>
      <c r="L44" s="24"/>
      <c r="M44" s="1420"/>
      <c r="N44" s="827"/>
      <c r="O44" s="828"/>
      <c r="P44" s="829"/>
      <c r="Q44" s="1188"/>
      <c r="R44" s="725"/>
      <c r="S44" s="725"/>
    </row>
    <row r="45" spans="2:21" s="786" customFormat="1" ht="12.95" customHeight="1" x14ac:dyDescent="0.2">
      <c r="B45" s="1075"/>
      <c r="C45" s="1060"/>
      <c r="D45" s="1076"/>
      <c r="E45" s="1076"/>
      <c r="F45" s="1076"/>
      <c r="G45" s="1076"/>
      <c r="H45" s="1076"/>
      <c r="I45" s="1076"/>
      <c r="J45" s="1076"/>
      <c r="K45" s="1076"/>
      <c r="L45" s="1076"/>
      <c r="M45" s="2289" t="s">
        <v>146</v>
      </c>
      <c r="N45" s="2289"/>
      <c r="O45" s="2512"/>
      <c r="P45" s="830">
        <f>P31</f>
        <v>58926000</v>
      </c>
      <c r="Q45" s="2051"/>
      <c r="R45" s="831"/>
    </row>
    <row r="46" spans="2:21" s="786" customFormat="1" ht="12.95" customHeight="1" x14ac:dyDescent="0.2">
      <c r="B46" s="815"/>
      <c r="C46" s="816"/>
      <c r="D46" s="816"/>
      <c r="E46" s="816"/>
      <c r="F46" s="816"/>
      <c r="G46" s="816"/>
      <c r="H46" s="816"/>
      <c r="I46" s="816"/>
      <c r="J46" s="816"/>
      <c r="K46" s="816"/>
      <c r="L46" s="816"/>
      <c r="M46" s="816"/>
      <c r="N46" s="816"/>
      <c r="O46" s="816"/>
      <c r="P46" s="832"/>
      <c r="Q46" s="2051"/>
      <c r="R46" s="831"/>
    </row>
    <row r="47" spans="2:21" ht="12.95" customHeight="1" x14ac:dyDescent="0.2">
      <c r="B47" s="170"/>
      <c r="C47" s="131"/>
      <c r="D47" s="131"/>
      <c r="E47" s="131"/>
      <c r="F47" s="131"/>
      <c r="G47" s="131"/>
      <c r="H47" s="131"/>
      <c r="I47" s="131"/>
      <c r="J47" s="131"/>
      <c r="K47" s="131"/>
      <c r="L47" s="131"/>
      <c r="M47" s="2506" t="str">
        <f>'RECAP APBD'!E43</f>
        <v>Banda Aceh,                   2020</v>
      </c>
      <c r="N47" s="2506"/>
      <c r="O47" s="2506"/>
      <c r="P47" s="2507"/>
      <c r="Q47" s="2028"/>
      <c r="S47" s="787"/>
    </row>
    <row r="48" spans="2:21" ht="12.95" customHeight="1" x14ac:dyDescent="0.2">
      <c r="B48" s="170"/>
      <c r="C48" s="131"/>
      <c r="D48" s="131"/>
      <c r="E48" s="131"/>
      <c r="F48" s="131"/>
      <c r="G48" s="131"/>
      <c r="H48" s="131"/>
      <c r="I48" s="131"/>
      <c r="J48" s="131"/>
      <c r="K48" s="131"/>
      <c r="L48" s="131"/>
      <c r="M48" s="2381" t="str">
        <f>'RECAP APBD'!E44</f>
        <v>Pengguna Anggaran</v>
      </c>
      <c r="N48" s="2381"/>
      <c r="O48" s="2381"/>
      <c r="P48" s="2382"/>
      <c r="Q48" s="2023"/>
    </row>
    <row r="49" spans="2:19" ht="12.95" customHeight="1" x14ac:dyDescent="0.2">
      <c r="B49" s="170"/>
      <c r="C49" s="131"/>
      <c r="D49" s="131"/>
      <c r="E49" s="131"/>
      <c r="F49" s="131"/>
      <c r="G49" s="131"/>
      <c r="H49" s="131"/>
      <c r="I49" s="131"/>
      <c r="J49" s="131"/>
      <c r="K49" s="131"/>
      <c r="L49" s="131"/>
      <c r="M49" s="2381" t="str">
        <f>'RECAP APBD'!E45</f>
        <v>Satuan Kerja Perangkat Daerah</v>
      </c>
      <c r="N49" s="2381"/>
      <c r="O49" s="2381"/>
      <c r="P49" s="2382"/>
      <c r="Q49" s="2023"/>
      <c r="R49" s="11"/>
      <c r="S49" s="22"/>
    </row>
    <row r="50" spans="2:19" ht="12.95" customHeight="1" x14ac:dyDescent="0.2">
      <c r="B50" s="170"/>
      <c r="C50" s="131"/>
      <c r="D50" s="131"/>
      <c r="E50" s="131"/>
      <c r="F50" s="131"/>
      <c r="G50" s="131"/>
      <c r="H50" s="131"/>
      <c r="I50" s="131"/>
      <c r="J50" s="131"/>
      <c r="K50" s="131"/>
      <c r="L50" s="131"/>
      <c r="M50" s="2381"/>
      <c r="N50" s="2381"/>
      <c r="O50" s="2381"/>
      <c r="P50" s="2382"/>
      <c r="Q50" s="2023"/>
    </row>
    <row r="51" spans="2:19" ht="12.95" customHeight="1" x14ac:dyDescent="0.2">
      <c r="B51" s="170"/>
      <c r="C51" s="131"/>
      <c r="D51" s="131"/>
      <c r="E51" s="131"/>
      <c r="F51" s="131"/>
      <c r="G51" s="131"/>
      <c r="H51" s="131"/>
      <c r="I51" s="131"/>
      <c r="J51" s="131"/>
      <c r="K51" s="131"/>
      <c r="L51" s="131"/>
      <c r="M51" s="2510"/>
      <c r="N51" s="2510"/>
      <c r="O51" s="2510"/>
      <c r="P51" s="2511"/>
      <c r="Q51" s="2029"/>
    </row>
    <row r="52" spans="2:19" ht="12.95" customHeight="1" x14ac:dyDescent="0.2">
      <c r="B52" s="170"/>
      <c r="C52" s="131"/>
      <c r="D52" s="131"/>
      <c r="E52" s="131"/>
      <c r="F52" s="131"/>
      <c r="G52" s="131"/>
      <c r="H52" s="131"/>
      <c r="I52" s="131"/>
      <c r="J52" s="131"/>
      <c r="K52" s="131"/>
      <c r="L52" s="131"/>
      <c r="M52" s="2199" t="str">
        <f>'RECAP APBD'!E48</f>
        <v>Bustami, SH</v>
      </c>
      <c r="N52" s="2199"/>
      <c r="O52" s="2199"/>
      <c r="P52" s="2200"/>
      <c r="Q52" s="2021"/>
    </row>
    <row r="53" spans="2:19" ht="12.95" customHeight="1" x14ac:dyDescent="0.2">
      <c r="B53" s="731"/>
      <c r="C53" s="732"/>
      <c r="D53" s="732"/>
      <c r="E53" s="732"/>
      <c r="F53" s="732"/>
      <c r="G53" s="732"/>
      <c r="H53" s="732"/>
      <c r="I53" s="732"/>
      <c r="J53" s="732"/>
      <c r="K53" s="732"/>
      <c r="L53" s="732"/>
      <c r="M53" s="2191" t="str">
        <f>'RECAP APBD'!E49</f>
        <v>Pembina Utama Muda / Nip. 19630824 198703 1 004</v>
      </c>
      <c r="N53" s="2191"/>
      <c r="O53" s="2191"/>
      <c r="P53" s="2254"/>
      <c r="Q53" s="2020"/>
    </row>
    <row r="54" spans="2:19" ht="12.95" customHeight="1" x14ac:dyDescent="0.2">
      <c r="B54" s="2501" t="s">
        <v>140</v>
      </c>
      <c r="C54" s="2502"/>
      <c r="D54" s="2502"/>
      <c r="E54" s="2502"/>
      <c r="F54" s="2502"/>
      <c r="G54" s="2502"/>
      <c r="H54" s="2502"/>
      <c r="I54" s="2502"/>
      <c r="J54" s="2502"/>
      <c r="K54" s="2502"/>
      <c r="L54" s="2502"/>
      <c r="M54" s="2513"/>
      <c r="N54" s="2513"/>
      <c r="O54" s="2513"/>
      <c r="P54" s="2514"/>
      <c r="Q54" s="571"/>
    </row>
    <row r="55" spans="2:19" ht="12.95" customHeight="1" x14ac:dyDescent="0.2">
      <c r="B55" s="2501" t="s">
        <v>22</v>
      </c>
      <c r="C55" s="2502"/>
      <c r="D55" s="2502"/>
      <c r="E55" s="2502"/>
      <c r="F55" s="2502"/>
      <c r="G55" s="2502"/>
      <c r="H55" s="2502"/>
      <c r="I55" s="2502"/>
      <c r="J55" s="2502"/>
      <c r="K55" s="2502"/>
      <c r="L55" s="2502"/>
      <c r="M55" s="251"/>
      <c r="N55" s="2508"/>
      <c r="O55" s="2508"/>
      <c r="P55" s="2509"/>
      <c r="Q55" s="1490"/>
    </row>
    <row r="56" spans="2:19" ht="12.95" customHeight="1" x14ac:dyDescent="0.2">
      <c r="B56" s="2501" t="s">
        <v>21</v>
      </c>
      <c r="C56" s="2502"/>
      <c r="D56" s="2502"/>
      <c r="E56" s="2502"/>
      <c r="F56" s="2502"/>
      <c r="G56" s="2502"/>
      <c r="H56" s="2502"/>
      <c r="I56" s="2502"/>
      <c r="J56" s="2502"/>
      <c r="K56" s="2502"/>
      <c r="L56" s="2502"/>
      <c r="M56" s="251"/>
      <c r="N56" s="2503"/>
      <c r="O56" s="2503"/>
      <c r="P56" s="2504"/>
      <c r="Q56" s="2034"/>
    </row>
    <row r="57" spans="2:19" ht="12.95" customHeight="1" x14ac:dyDescent="0.2">
      <c r="B57" s="2501" t="s">
        <v>204</v>
      </c>
      <c r="C57" s="2502"/>
      <c r="D57" s="2502"/>
      <c r="E57" s="2502"/>
      <c r="F57" s="2502"/>
      <c r="G57" s="2502"/>
      <c r="H57" s="2502"/>
      <c r="I57" s="2502"/>
      <c r="J57" s="2502"/>
      <c r="K57" s="2502"/>
      <c r="L57" s="2502"/>
      <c r="M57" s="2502"/>
      <c r="N57" s="2502"/>
      <c r="O57" s="2502"/>
      <c r="P57" s="2505"/>
      <c r="Q57" s="572"/>
    </row>
    <row r="58" spans="2:19" ht="12.95" customHeight="1" x14ac:dyDescent="0.2">
      <c r="B58" s="2501" t="s">
        <v>205</v>
      </c>
      <c r="C58" s="2502"/>
      <c r="D58" s="2502"/>
      <c r="E58" s="2502"/>
      <c r="F58" s="2502"/>
      <c r="G58" s="2502"/>
      <c r="H58" s="2502"/>
      <c r="I58" s="2502"/>
      <c r="J58" s="2502"/>
      <c r="K58" s="2502"/>
      <c r="L58" s="2502"/>
      <c r="M58" s="2502"/>
      <c r="N58" s="2502"/>
      <c r="O58" s="2502"/>
      <c r="P58" s="2505"/>
      <c r="Q58" s="572"/>
    </row>
    <row r="59" spans="2:19" ht="12.95" customHeight="1" thickBot="1" x14ac:dyDescent="0.25">
      <c r="B59" s="2517" t="s">
        <v>206</v>
      </c>
      <c r="C59" s="2518"/>
      <c r="D59" s="2518"/>
      <c r="E59" s="2518"/>
      <c r="F59" s="2518"/>
      <c r="G59" s="2518"/>
      <c r="H59" s="2518"/>
      <c r="I59" s="2518"/>
      <c r="J59" s="2518"/>
      <c r="K59" s="2518"/>
      <c r="L59" s="2518"/>
      <c r="M59" s="2518"/>
      <c r="N59" s="2518"/>
      <c r="O59" s="2518"/>
      <c r="P59" s="2519"/>
      <c r="Q59" s="572"/>
    </row>
    <row r="60" spans="2:19" ht="12.95" customHeight="1" thickTop="1" x14ac:dyDescent="0.2">
      <c r="B60" s="2523" t="s">
        <v>25</v>
      </c>
      <c r="C60" s="2524"/>
      <c r="D60" s="2524"/>
      <c r="E60" s="2524"/>
      <c r="F60" s="2524"/>
      <c r="G60" s="2524"/>
      <c r="H60" s="2524"/>
      <c r="I60" s="2524"/>
      <c r="J60" s="2524"/>
      <c r="K60" s="2524"/>
      <c r="L60" s="2524"/>
      <c r="M60" s="2524"/>
      <c r="N60" s="2524"/>
      <c r="O60" s="2524"/>
      <c r="P60" s="2525"/>
      <c r="Q60" s="2023"/>
    </row>
    <row r="61" spans="2:19" ht="12.95" customHeight="1" thickBot="1" x14ac:dyDescent="0.25">
      <c r="B61" s="2526" t="s">
        <v>207</v>
      </c>
      <c r="C61" s="2527"/>
      <c r="D61" s="2528" t="s">
        <v>208</v>
      </c>
      <c r="E61" s="2529"/>
      <c r="F61" s="2529"/>
      <c r="G61" s="2529"/>
      <c r="H61" s="2529"/>
      <c r="I61" s="2529"/>
      <c r="J61" s="2529"/>
      <c r="K61" s="2529"/>
      <c r="L61" s="2530"/>
      <c r="M61" s="2531" t="s">
        <v>209</v>
      </c>
      <c r="N61" s="2530"/>
      <c r="O61" s="4" t="s">
        <v>210</v>
      </c>
      <c r="P61" s="92" t="s">
        <v>211</v>
      </c>
      <c r="Q61" s="2027"/>
    </row>
    <row r="62" spans="2:19" ht="12.95" customHeight="1" thickTop="1" x14ac:dyDescent="0.2">
      <c r="B62" s="2535">
        <v>1</v>
      </c>
      <c r="C62" s="2536"/>
      <c r="D62" s="2532"/>
      <c r="E62" s="2533"/>
      <c r="F62" s="2533"/>
      <c r="G62" s="2533"/>
      <c r="H62" s="2533"/>
      <c r="I62" s="2533"/>
      <c r="J62" s="2533"/>
      <c r="K62" s="2533"/>
      <c r="L62" s="2534"/>
      <c r="M62" s="2538"/>
      <c r="N62" s="2539"/>
      <c r="O62" s="1073"/>
      <c r="P62" s="1177" t="s">
        <v>10</v>
      </c>
      <c r="Q62" s="1257"/>
    </row>
    <row r="63" spans="2:19" ht="12.95" customHeight="1" x14ac:dyDescent="0.2">
      <c r="B63" s="2522">
        <v>2</v>
      </c>
      <c r="C63" s="2240"/>
      <c r="D63" s="1116"/>
      <c r="E63" s="1117"/>
      <c r="F63" s="1117"/>
      <c r="G63" s="1117"/>
      <c r="H63" s="1117"/>
      <c r="I63" s="1117"/>
      <c r="J63" s="1117"/>
      <c r="K63" s="1117"/>
      <c r="L63" s="1118"/>
      <c r="M63" s="2442"/>
      <c r="N63" s="2247"/>
      <c r="O63" s="1085"/>
      <c r="P63" s="1177" t="s">
        <v>11</v>
      </c>
      <c r="Q63" s="1257"/>
    </row>
    <row r="64" spans="2:19" ht="12.95" customHeight="1" x14ac:dyDescent="0.2">
      <c r="B64" s="2522">
        <v>3</v>
      </c>
      <c r="C64" s="2240"/>
      <c r="D64" s="1116"/>
      <c r="E64" s="1117"/>
      <c r="F64" s="1117"/>
      <c r="G64" s="1117"/>
      <c r="H64" s="1117"/>
      <c r="I64" s="1117"/>
      <c r="J64" s="1117"/>
      <c r="K64" s="1117"/>
      <c r="L64" s="1118"/>
      <c r="M64" s="2442"/>
      <c r="N64" s="2247"/>
      <c r="O64" s="1085"/>
      <c r="P64" s="1177" t="s">
        <v>12</v>
      </c>
      <c r="Q64" s="1257"/>
    </row>
    <row r="65" spans="2:18" ht="12.95" customHeight="1" x14ac:dyDescent="0.2">
      <c r="B65" s="2522">
        <v>4</v>
      </c>
      <c r="C65" s="2240"/>
      <c r="D65" s="1116"/>
      <c r="E65" s="1117"/>
      <c r="F65" s="1117"/>
      <c r="G65" s="1117"/>
      <c r="H65" s="1117"/>
      <c r="I65" s="1117"/>
      <c r="J65" s="1117"/>
      <c r="K65" s="1117"/>
      <c r="L65" s="1118"/>
      <c r="M65" s="2443"/>
      <c r="N65" s="2253"/>
      <c r="O65" s="1085"/>
      <c r="P65" s="1177" t="s">
        <v>13</v>
      </c>
      <c r="Q65" s="1257"/>
    </row>
    <row r="66" spans="2:18" ht="12.95" customHeight="1" x14ac:dyDescent="0.2">
      <c r="B66" s="2522">
        <v>5</v>
      </c>
      <c r="C66" s="2240"/>
      <c r="D66" s="1116"/>
      <c r="E66" s="1117"/>
      <c r="F66" s="1117"/>
      <c r="G66" s="1117"/>
      <c r="H66" s="1117"/>
      <c r="I66" s="1117"/>
      <c r="J66" s="1117"/>
      <c r="K66" s="1117"/>
      <c r="L66" s="1118"/>
      <c r="M66" s="2443"/>
      <c r="N66" s="2253"/>
      <c r="O66" s="1085"/>
      <c r="P66" s="1177" t="s">
        <v>14</v>
      </c>
      <c r="Q66" s="1257"/>
      <c r="R66" s="833"/>
    </row>
    <row r="67" spans="2:18" ht="12.95" customHeight="1" x14ac:dyDescent="0.2">
      <c r="B67" s="2522">
        <v>6</v>
      </c>
      <c r="C67" s="2240"/>
      <c r="D67" s="1116"/>
      <c r="E67" s="1117"/>
      <c r="F67" s="1117"/>
      <c r="G67" s="1117"/>
      <c r="H67" s="1117"/>
      <c r="I67" s="1117"/>
      <c r="J67" s="1117"/>
      <c r="K67" s="1117"/>
      <c r="L67" s="1118"/>
      <c r="M67" s="2443"/>
      <c r="N67" s="2253"/>
      <c r="O67" s="1085"/>
      <c r="P67" s="1178" t="s">
        <v>42</v>
      </c>
      <c r="Q67" s="2052"/>
      <c r="R67" s="833"/>
    </row>
    <row r="68" spans="2:18" ht="12.95" customHeight="1" thickBot="1" x14ac:dyDescent="0.25">
      <c r="B68" s="2520">
        <v>7</v>
      </c>
      <c r="C68" s="2521"/>
      <c r="D68" s="1119"/>
      <c r="E68" s="1120"/>
      <c r="F68" s="1120"/>
      <c r="G68" s="1120"/>
      <c r="H68" s="1120"/>
      <c r="I68" s="1120"/>
      <c r="J68" s="1120"/>
      <c r="K68" s="1120"/>
      <c r="L68" s="1121"/>
      <c r="M68" s="2537"/>
      <c r="N68" s="2300"/>
      <c r="O68" s="1061"/>
      <c r="P68" s="1179" t="s">
        <v>487</v>
      </c>
      <c r="Q68" s="2053"/>
      <c r="R68" s="833"/>
    </row>
    <row r="69" spans="2:18" ht="12.95" customHeight="1" thickTop="1" x14ac:dyDescent="0.2">
      <c r="B69" s="122"/>
      <c r="C69" s="122"/>
      <c r="D69" s="834"/>
      <c r="E69" s="834"/>
      <c r="F69" s="834"/>
      <c r="G69" s="834"/>
      <c r="H69" s="834"/>
      <c r="I69" s="834"/>
      <c r="J69" s="834"/>
      <c r="K69" s="834"/>
      <c r="L69" s="834"/>
      <c r="M69" s="734"/>
      <c r="N69" s="734"/>
      <c r="O69" s="735"/>
      <c r="P69" s="835"/>
      <c r="Q69" s="2053"/>
    </row>
  </sheetData>
  <mergeCells count="86">
    <mergeCell ref="B59:P59"/>
    <mergeCell ref="B68:C68"/>
    <mergeCell ref="B67:C67"/>
    <mergeCell ref="B60:P60"/>
    <mergeCell ref="B61:C61"/>
    <mergeCell ref="D61:L61"/>
    <mergeCell ref="M61:N61"/>
    <mergeCell ref="D62:L62"/>
    <mergeCell ref="B66:C66"/>
    <mergeCell ref="B65:C65"/>
    <mergeCell ref="B64:C64"/>
    <mergeCell ref="B62:C62"/>
    <mergeCell ref="B63:C63"/>
    <mergeCell ref="M67:N67"/>
    <mergeCell ref="M68:N68"/>
    <mergeCell ref="M62:N62"/>
    <mergeCell ref="M45:O45"/>
    <mergeCell ref="M54:P54"/>
    <mergeCell ref="R35:S35"/>
    <mergeCell ref="M53:P53"/>
    <mergeCell ref="M52:P52"/>
    <mergeCell ref="B56:L56"/>
    <mergeCell ref="N56:P56"/>
    <mergeCell ref="B57:P57"/>
    <mergeCell ref="B58:P58"/>
    <mergeCell ref="M47:P47"/>
    <mergeCell ref="B54:L54"/>
    <mergeCell ref="B55:L55"/>
    <mergeCell ref="N55:P55"/>
    <mergeCell ref="M48:P48"/>
    <mergeCell ref="M51:P51"/>
    <mergeCell ref="M49:P49"/>
    <mergeCell ref="M50:P50"/>
    <mergeCell ref="B20:K20"/>
    <mergeCell ref="L20:N20"/>
    <mergeCell ref="O20:P20"/>
    <mergeCell ref="B29:K29"/>
    <mergeCell ref="B22:P22"/>
    <mergeCell ref="B23:P23"/>
    <mergeCell ref="B24:P24"/>
    <mergeCell ref="B25:K25"/>
    <mergeCell ref="L25:L28"/>
    <mergeCell ref="M25:O25"/>
    <mergeCell ref="B26:K26"/>
    <mergeCell ref="M26:M28"/>
    <mergeCell ref="N26:N28"/>
    <mergeCell ref="O26:O28"/>
    <mergeCell ref="B7:K7"/>
    <mergeCell ref="M7:P7"/>
    <mergeCell ref="B8:K8"/>
    <mergeCell ref="B17:K17"/>
    <mergeCell ref="L17:N17"/>
    <mergeCell ref="O17:P17"/>
    <mergeCell ref="L11:P11"/>
    <mergeCell ref="B13:K13"/>
    <mergeCell ref="B14:K14"/>
    <mergeCell ref="B9:K9"/>
    <mergeCell ref="B11:K11"/>
    <mergeCell ref="B12:K12"/>
    <mergeCell ref="B15:P15"/>
    <mergeCell ref="B16:K16"/>
    <mergeCell ref="L16:N16"/>
    <mergeCell ref="O16:P16"/>
    <mergeCell ref="B6:K6"/>
    <mergeCell ref="F2:O2"/>
    <mergeCell ref="P2:P3"/>
    <mergeCell ref="F3:O3"/>
    <mergeCell ref="B4:O4"/>
    <mergeCell ref="P4:P5"/>
    <mergeCell ref="B5:O5"/>
    <mergeCell ref="M63:N63"/>
    <mergeCell ref="M64:N64"/>
    <mergeCell ref="M65:N65"/>
    <mergeCell ref="M66:N66"/>
    <mergeCell ref="M6:O6"/>
    <mergeCell ref="B21:P21"/>
    <mergeCell ref="B27:K27"/>
    <mergeCell ref="B28:K28"/>
    <mergeCell ref="M9:P9"/>
    <mergeCell ref="M8:P8"/>
    <mergeCell ref="B18:K18"/>
    <mergeCell ref="L18:N18"/>
    <mergeCell ref="O18:P18"/>
    <mergeCell ref="B19:K19"/>
    <mergeCell ref="L19:N19"/>
    <mergeCell ref="O19:P19"/>
  </mergeCells>
  <phoneticPr fontId="14" type="noConversion"/>
  <pageMargins left="0.643700787" right="0.23622047244094499" top="0.80118110200000003" bottom="0.98425196850393704" header="0.511811023622047" footer="0.511811023622047"/>
  <pageSetup paperSize="5" scale="78" orientation="portrait" horizontalDpi="4294967294" verticalDpi="4294967294"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B1:U89"/>
  <sheetViews>
    <sheetView view="pageBreakPreview" topLeftCell="K22" zoomScale="70" zoomScaleNormal="100" zoomScaleSheetLayoutView="70" workbookViewId="0">
      <selection activeCell="M59" sqref="M59"/>
    </sheetView>
  </sheetViews>
  <sheetFormatPr defaultColWidth="8.7109375" defaultRowHeight="12.75" x14ac:dyDescent="0.2"/>
  <cols>
    <col min="1" max="1" width="8.7109375" style="715"/>
    <col min="2" max="11" width="2.7109375" style="715" customWidth="1"/>
    <col min="12" max="12" width="41.28515625" style="715" customWidth="1"/>
    <col min="13" max="13" width="6.5703125" style="715" customWidth="1"/>
    <col min="14" max="14" width="7.5703125" style="715" customWidth="1"/>
    <col min="15" max="15" width="18.7109375" style="715" customWidth="1"/>
    <col min="16" max="17" width="17.140625" style="715" customWidth="1"/>
    <col min="18" max="18" width="19" style="715" customWidth="1"/>
    <col min="19" max="19" width="11.28515625" style="715" bestFit="1" customWidth="1"/>
    <col min="20" max="20" width="8.7109375" style="715"/>
    <col min="21" max="21" width="10.85546875" style="715" bestFit="1" customWidth="1"/>
    <col min="22" max="16384" width="8.7109375" style="715"/>
  </cols>
  <sheetData>
    <row r="1" spans="2:17" ht="18" customHeight="1" thickBot="1" x14ac:dyDescent="0.25"/>
    <row r="2" spans="2:17" s="716" customFormat="1" ht="18.95" customHeight="1" thickTop="1" x14ac:dyDescent="0.2">
      <c r="B2" s="8"/>
      <c r="C2" s="9"/>
      <c r="D2" s="9"/>
      <c r="E2" s="9"/>
      <c r="F2" s="2174" t="s">
        <v>212</v>
      </c>
      <c r="G2" s="2174"/>
      <c r="H2" s="2174"/>
      <c r="I2" s="2174"/>
      <c r="J2" s="2174"/>
      <c r="K2" s="2174"/>
      <c r="L2" s="2174"/>
      <c r="M2" s="2174"/>
      <c r="N2" s="2174"/>
      <c r="O2" s="2175"/>
      <c r="P2" s="2550" t="s">
        <v>67</v>
      </c>
      <c r="Q2" s="2024"/>
    </row>
    <row r="3" spans="2:17" s="716" customFormat="1" ht="18.95" customHeight="1" x14ac:dyDescent="0.2">
      <c r="B3" s="6"/>
      <c r="C3" s="7"/>
      <c r="D3" s="7"/>
      <c r="E3" s="7"/>
      <c r="F3" s="2465" t="s">
        <v>183</v>
      </c>
      <c r="G3" s="2465"/>
      <c r="H3" s="2465"/>
      <c r="I3" s="2465"/>
      <c r="J3" s="2465"/>
      <c r="K3" s="2465"/>
      <c r="L3" s="2465"/>
      <c r="M3" s="2465"/>
      <c r="N3" s="2465"/>
      <c r="O3" s="2466"/>
      <c r="P3" s="2551"/>
      <c r="Q3" s="2024"/>
    </row>
    <row r="4" spans="2:17" ht="12.95" customHeight="1" x14ac:dyDescent="0.2">
      <c r="B4" s="2552" t="s">
        <v>33</v>
      </c>
      <c r="C4" s="2381"/>
      <c r="D4" s="2381"/>
      <c r="E4" s="2381"/>
      <c r="F4" s="2381"/>
      <c r="G4" s="2381"/>
      <c r="H4" s="2381"/>
      <c r="I4" s="2381"/>
      <c r="J4" s="2381"/>
      <c r="K4" s="2381"/>
      <c r="L4" s="2381"/>
      <c r="M4" s="2381"/>
      <c r="N4" s="2381"/>
      <c r="O4" s="2467"/>
      <c r="P4" s="2553" t="s">
        <v>30</v>
      </c>
      <c r="Q4" s="2040"/>
    </row>
    <row r="5" spans="2:17" ht="12.95" customHeight="1" thickBot="1" x14ac:dyDescent="0.25">
      <c r="B5" s="2373" t="str">
        <f>'RECAP APBD'!B5:F5</f>
        <v>Tahun Anggaran 2020</v>
      </c>
      <c r="C5" s="2374"/>
      <c r="D5" s="2374"/>
      <c r="E5" s="2374"/>
      <c r="F5" s="2374"/>
      <c r="G5" s="2374"/>
      <c r="H5" s="2374"/>
      <c r="I5" s="2374"/>
      <c r="J5" s="2374"/>
      <c r="K5" s="2374"/>
      <c r="L5" s="2374"/>
      <c r="M5" s="2374"/>
      <c r="N5" s="2374"/>
      <c r="O5" s="2470"/>
      <c r="P5" s="2554"/>
      <c r="Q5" s="2040"/>
    </row>
    <row r="6" spans="2:17" ht="12.95" customHeight="1" x14ac:dyDescent="0.2">
      <c r="B6" s="2545" t="s">
        <v>245</v>
      </c>
      <c r="C6" s="2463"/>
      <c r="D6" s="2463"/>
      <c r="E6" s="2463"/>
      <c r="F6" s="2463"/>
      <c r="G6" s="2463"/>
      <c r="H6" s="2463"/>
      <c r="I6" s="2463"/>
      <c r="J6" s="2463"/>
      <c r="K6" s="320"/>
      <c r="L6" s="684" t="s">
        <v>442</v>
      </c>
      <c r="M6" s="2213" t="s">
        <v>437</v>
      </c>
      <c r="N6" s="2213"/>
      <c r="O6" s="2213"/>
      <c r="P6" s="2546"/>
      <c r="Q6" s="296"/>
    </row>
    <row r="7" spans="2:17" ht="12.95" customHeight="1" x14ac:dyDescent="0.2">
      <c r="B7" s="2540" t="s">
        <v>242</v>
      </c>
      <c r="C7" s="2355"/>
      <c r="D7" s="2355"/>
      <c r="E7" s="2355"/>
      <c r="F7" s="2355"/>
      <c r="G7" s="2355"/>
      <c r="H7" s="2355"/>
      <c r="I7" s="2355"/>
      <c r="J7" s="2355"/>
      <c r="K7" s="2355"/>
      <c r="L7" s="654" t="s">
        <v>441</v>
      </c>
      <c r="M7" s="2541" t="s">
        <v>466</v>
      </c>
      <c r="N7" s="2541"/>
      <c r="O7" s="2541"/>
      <c r="P7" s="2542"/>
      <c r="Q7" s="512"/>
    </row>
    <row r="8" spans="2:17" ht="12.95" customHeight="1" x14ac:dyDescent="0.2">
      <c r="B8" s="2540" t="s">
        <v>246</v>
      </c>
      <c r="C8" s="2355"/>
      <c r="D8" s="2355"/>
      <c r="E8" s="2355"/>
      <c r="F8" s="2355"/>
      <c r="G8" s="2355"/>
      <c r="H8" s="2355"/>
      <c r="I8" s="2355"/>
      <c r="J8" s="2355"/>
      <c r="K8" s="2355"/>
      <c r="L8" s="654" t="s">
        <v>443</v>
      </c>
      <c r="M8" s="29" t="s">
        <v>124</v>
      </c>
      <c r="N8" s="30"/>
      <c r="O8" s="30"/>
      <c r="P8" s="31"/>
      <c r="Q8" s="2054"/>
    </row>
    <row r="9" spans="2:17" s="717" customFormat="1" ht="12.95" customHeight="1" x14ac:dyDescent="0.2">
      <c r="B9" s="2547" t="s">
        <v>247</v>
      </c>
      <c r="C9" s="2548"/>
      <c r="D9" s="2548"/>
      <c r="E9" s="2548"/>
      <c r="F9" s="2548"/>
      <c r="G9" s="2548"/>
      <c r="H9" s="2548"/>
      <c r="I9" s="2548"/>
      <c r="J9" s="2548"/>
      <c r="K9" s="2548"/>
      <c r="L9" s="34" t="s">
        <v>445</v>
      </c>
      <c r="M9" s="29" t="s">
        <v>508</v>
      </c>
      <c r="N9" s="29"/>
      <c r="O9" s="29"/>
      <c r="P9" s="32"/>
      <c r="Q9" s="2043"/>
    </row>
    <row r="10" spans="2:17" s="717" customFormat="1" ht="12.95" customHeight="1" x14ac:dyDescent="0.2">
      <c r="B10" s="694"/>
      <c r="C10" s="686"/>
      <c r="D10" s="686"/>
      <c r="E10" s="686"/>
      <c r="F10" s="686"/>
      <c r="G10" s="686"/>
      <c r="H10" s="686"/>
      <c r="I10" s="686"/>
      <c r="J10" s="686"/>
      <c r="K10" s="686"/>
      <c r="L10" s="654"/>
      <c r="M10" s="29"/>
      <c r="N10" s="29"/>
      <c r="O10" s="29"/>
      <c r="P10" s="32"/>
      <c r="Q10" s="2043"/>
    </row>
    <row r="11" spans="2:17" ht="12.95" customHeight="1" x14ac:dyDescent="0.2">
      <c r="B11" s="2540" t="s">
        <v>221</v>
      </c>
      <c r="C11" s="2355"/>
      <c r="D11" s="2355"/>
      <c r="E11" s="2355"/>
      <c r="F11" s="2355"/>
      <c r="G11" s="2355"/>
      <c r="H11" s="2355"/>
      <c r="I11" s="2355"/>
      <c r="J11" s="2355"/>
      <c r="K11" s="2355"/>
      <c r="L11" s="2475" t="s">
        <v>899</v>
      </c>
      <c r="M11" s="2475"/>
      <c r="N11" s="2475"/>
      <c r="O11" s="2475"/>
      <c r="P11" s="2549"/>
      <c r="Q11" s="2044"/>
    </row>
    <row r="12" spans="2:17" ht="12.95" customHeight="1" x14ac:dyDescent="0.2">
      <c r="B12" s="2540" t="s">
        <v>222</v>
      </c>
      <c r="C12" s="2355"/>
      <c r="D12" s="2355"/>
      <c r="E12" s="2355"/>
      <c r="F12" s="2355"/>
      <c r="G12" s="2355"/>
      <c r="H12" s="2355"/>
      <c r="I12" s="2355"/>
      <c r="J12" s="2355"/>
      <c r="K12" s="2355"/>
      <c r="L12" s="152">
        <v>8700000</v>
      </c>
      <c r="M12" s="35"/>
      <c r="N12" s="35"/>
      <c r="O12" s="35"/>
      <c r="P12" s="36"/>
      <c r="Q12" s="2045"/>
    </row>
    <row r="13" spans="2:17" ht="12.95" customHeight="1" x14ac:dyDescent="0.2">
      <c r="B13" s="2540" t="s">
        <v>223</v>
      </c>
      <c r="C13" s="2355"/>
      <c r="D13" s="2355"/>
      <c r="E13" s="2355"/>
      <c r="F13" s="2355"/>
      <c r="G13" s="2355"/>
      <c r="H13" s="2355"/>
      <c r="I13" s="2355"/>
      <c r="J13" s="2355"/>
      <c r="K13" s="2355"/>
      <c r="L13" s="152">
        <f>O18</f>
        <v>5550000</v>
      </c>
      <c r="M13" s="35"/>
      <c r="N13" s="35"/>
      <c r="O13" s="35"/>
      <c r="P13" s="36"/>
      <c r="Q13" s="2045"/>
    </row>
    <row r="14" spans="2:17" ht="12.95" customHeight="1" x14ac:dyDescent="0.2">
      <c r="B14" s="2540" t="s">
        <v>224</v>
      </c>
      <c r="C14" s="2355"/>
      <c r="D14" s="2355"/>
      <c r="E14" s="2355"/>
      <c r="F14" s="2355"/>
      <c r="G14" s="2355"/>
      <c r="H14" s="2355"/>
      <c r="I14" s="2355"/>
      <c r="J14" s="2355"/>
      <c r="K14" s="2355"/>
      <c r="L14" s="152">
        <f>L13+(L13*5%)</f>
        <v>5827500</v>
      </c>
      <c r="M14" s="35"/>
      <c r="N14" s="35"/>
      <c r="O14" s="35"/>
      <c r="P14" s="36"/>
      <c r="Q14" s="2045"/>
    </row>
    <row r="15" spans="2:17" ht="12.95" customHeight="1" x14ac:dyDescent="0.2">
      <c r="B15" s="2543" t="s">
        <v>225</v>
      </c>
      <c r="C15" s="2289"/>
      <c r="D15" s="2289"/>
      <c r="E15" s="2289"/>
      <c r="F15" s="2289"/>
      <c r="G15" s="2289"/>
      <c r="H15" s="2289"/>
      <c r="I15" s="2289"/>
      <c r="J15" s="2289"/>
      <c r="K15" s="2289"/>
      <c r="L15" s="2289"/>
      <c r="M15" s="2289"/>
      <c r="N15" s="2289"/>
      <c r="O15" s="2289"/>
      <c r="P15" s="2544"/>
      <c r="Q15" s="520"/>
    </row>
    <row r="16" spans="2:17" ht="12.95" customHeight="1" x14ac:dyDescent="0.2">
      <c r="B16" s="2543" t="s">
        <v>36</v>
      </c>
      <c r="C16" s="2289"/>
      <c r="D16" s="2289"/>
      <c r="E16" s="2289"/>
      <c r="F16" s="2289"/>
      <c r="G16" s="2289"/>
      <c r="H16" s="2289"/>
      <c r="I16" s="2289"/>
      <c r="J16" s="2289"/>
      <c r="K16" s="2480"/>
      <c r="L16" s="2289" t="s">
        <v>226</v>
      </c>
      <c r="M16" s="2289"/>
      <c r="N16" s="2480"/>
      <c r="O16" s="2481" t="s">
        <v>227</v>
      </c>
      <c r="P16" s="2555"/>
      <c r="Q16" s="520"/>
    </row>
    <row r="17" spans="2:18" ht="12.95" customHeight="1" x14ac:dyDescent="0.2">
      <c r="B17" s="2556" t="s">
        <v>37</v>
      </c>
      <c r="C17" s="2286"/>
      <c r="D17" s="2286"/>
      <c r="E17" s="2286"/>
      <c r="F17" s="2286"/>
      <c r="G17" s="2286"/>
      <c r="H17" s="2286"/>
      <c r="I17" s="2286"/>
      <c r="J17" s="2286"/>
      <c r="K17" s="2455"/>
      <c r="L17" s="2456" t="s">
        <v>701</v>
      </c>
      <c r="M17" s="2457"/>
      <c r="N17" s="2458"/>
      <c r="O17" s="2474">
        <v>1</v>
      </c>
      <c r="P17" s="2557"/>
      <c r="Q17" s="2028"/>
    </row>
    <row r="18" spans="2:18" ht="12.95" customHeight="1" x14ac:dyDescent="0.2">
      <c r="B18" s="2556" t="s">
        <v>228</v>
      </c>
      <c r="C18" s="2286"/>
      <c r="D18" s="2286"/>
      <c r="E18" s="2286"/>
      <c r="F18" s="2286"/>
      <c r="G18" s="2286"/>
      <c r="H18" s="2286"/>
      <c r="I18" s="2286"/>
      <c r="J18" s="2286"/>
      <c r="K18" s="2455"/>
      <c r="L18" s="2456" t="s">
        <v>257</v>
      </c>
      <c r="M18" s="2457"/>
      <c r="N18" s="2458"/>
      <c r="O18" s="2459">
        <f>P30</f>
        <v>5550000</v>
      </c>
      <c r="P18" s="2558"/>
      <c r="Q18" s="2028"/>
    </row>
    <row r="19" spans="2:18" ht="12.95" customHeight="1" x14ac:dyDescent="0.2">
      <c r="B19" s="2556" t="s">
        <v>229</v>
      </c>
      <c r="C19" s="2286"/>
      <c r="D19" s="2286"/>
      <c r="E19" s="2286"/>
      <c r="F19" s="2286"/>
      <c r="G19" s="2286"/>
      <c r="H19" s="2286"/>
      <c r="I19" s="2286"/>
      <c r="J19" s="2286"/>
      <c r="K19" s="2455"/>
      <c r="L19" s="2456" t="s">
        <v>681</v>
      </c>
      <c r="M19" s="2457"/>
      <c r="N19" s="2458"/>
      <c r="O19" s="2461" t="s">
        <v>258</v>
      </c>
      <c r="P19" s="2558"/>
      <c r="Q19" s="2028"/>
    </row>
    <row r="20" spans="2:18" ht="12.95" customHeight="1" x14ac:dyDescent="0.2">
      <c r="B20" s="2556" t="s">
        <v>230</v>
      </c>
      <c r="C20" s="2286"/>
      <c r="D20" s="2286"/>
      <c r="E20" s="2286"/>
      <c r="F20" s="2286"/>
      <c r="G20" s="2286"/>
      <c r="H20" s="2286"/>
      <c r="I20" s="2286"/>
      <c r="J20" s="2286"/>
      <c r="K20" s="2455"/>
      <c r="L20" s="2456" t="s">
        <v>700</v>
      </c>
      <c r="M20" s="2457"/>
      <c r="N20" s="2458"/>
      <c r="O20" s="2474">
        <v>1</v>
      </c>
      <c r="P20" s="2557"/>
      <c r="Q20" s="2028"/>
    </row>
    <row r="21" spans="2:18" ht="6.95" customHeight="1" x14ac:dyDescent="0.2">
      <c r="B21" s="2561"/>
      <c r="C21" s="2446"/>
      <c r="D21" s="2446"/>
      <c r="E21" s="2446"/>
      <c r="F21" s="2446"/>
      <c r="G21" s="2446"/>
      <c r="H21" s="2446"/>
      <c r="I21" s="2446"/>
      <c r="J21" s="2446"/>
      <c r="K21" s="2446"/>
      <c r="L21" s="2446"/>
      <c r="M21" s="2446"/>
      <c r="N21" s="2446"/>
      <c r="O21" s="2446"/>
      <c r="P21" s="2562"/>
      <c r="Q21" s="2046"/>
    </row>
    <row r="22" spans="2:18" ht="12.95" customHeight="1" x14ac:dyDescent="0.2">
      <c r="B22" s="2564" t="s">
        <v>535</v>
      </c>
      <c r="C22" s="2216"/>
      <c r="D22" s="2216"/>
      <c r="E22" s="2216"/>
      <c r="F22" s="2216"/>
      <c r="G22" s="2216"/>
      <c r="H22" s="2216"/>
      <c r="I22" s="2216"/>
      <c r="J22" s="2216"/>
      <c r="K22" s="2216"/>
      <c r="L22" s="2216"/>
      <c r="M22" s="2216"/>
      <c r="N22" s="2216"/>
      <c r="O22" s="2216"/>
      <c r="P22" s="2565"/>
      <c r="Q22" s="2022"/>
    </row>
    <row r="23" spans="2:18" ht="12.95" customHeight="1" x14ac:dyDescent="0.2">
      <c r="B23" s="2566" t="s">
        <v>231</v>
      </c>
      <c r="C23" s="2488"/>
      <c r="D23" s="2488"/>
      <c r="E23" s="2488"/>
      <c r="F23" s="2488"/>
      <c r="G23" s="2488"/>
      <c r="H23" s="2488"/>
      <c r="I23" s="2488"/>
      <c r="J23" s="2488"/>
      <c r="K23" s="2488"/>
      <c r="L23" s="2488"/>
      <c r="M23" s="2488"/>
      <c r="N23" s="2488"/>
      <c r="O23" s="2488"/>
      <c r="P23" s="2567"/>
      <c r="Q23" s="520"/>
    </row>
    <row r="24" spans="2:18" ht="12.95" customHeight="1" x14ac:dyDescent="0.2">
      <c r="B24" s="2568" t="s">
        <v>38</v>
      </c>
      <c r="C24" s="2491"/>
      <c r="D24" s="2491"/>
      <c r="E24" s="2491"/>
      <c r="F24" s="2491"/>
      <c r="G24" s="2491"/>
      <c r="H24" s="2491"/>
      <c r="I24" s="2491"/>
      <c r="J24" s="2491"/>
      <c r="K24" s="2491"/>
      <c r="L24" s="2491"/>
      <c r="M24" s="2491"/>
      <c r="N24" s="2491"/>
      <c r="O24" s="2491"/>
      <c r="P24" s="2569"/>
      <c r="Q24" s="520"/>
    </row>
    <row r="25" spans="2:18" ht="12.95" customHeight="1" x14ac:dyDescent="0.2">
      <c r="B25" s="2570"/>
      <c r="C25" s="2264"/>
      <c r="D25" s="2264"/>
      <c r="E25" s="2264"/>
      <c r="F25" s="2264"/>
      <c r="G25" s="2264"/>
      <c r="H25" s="2264"/>
      <c r="I25" s="2264"/>
      <c r="J25" s="2264"/>
      <c r="K25" s="2494"/>
      <c r="L25" s="2495" t="s">
        <v>191</v>
      </c>
      <c r="M25" s="2498" t="s">
        <v>198</v>
      </c>
      <c r="N25" s="2499"/>
      <c r="O25" s="2500"/>
      <c r="P25" s="780"/>
      <c r="Q25" s="730"/>
    </row>
    <row r="26" spans="2:18" ht="12.95" customHeight="1" x14ac:dyDescent="0.2">
      <c r="B26" s="2559" t="s">
        <v>189</v>
      </c>
      <c r="C26" s="2449"/>
      <c r="D26" s="2449"/>
      <c r="E26" s="2449"/>
      <c r="F26" s="2449"/>
      <c r="G26" s="2449"/>
      <c r="H26" s="2449"/>
      <c r="I26" s="2449"/>
      <c r="J26" s="2449"/>
      <c r="K26" s="2450"/>
      <c r="L26" s="2496"/>
      <c r="M26" s="2399" t="s">
        <v>200</v>
      </c>
      <c r="N26" s="2399" t="s">
        <v>26</v>
      </c>
      <c r="O26" s="2311" t="s">
        <v>217</v>
      </c>
      <c r="P26" s="2" t="s">
        <v>192</v>
      </c>
      <c r="Q26" s="2027"/>
    </row>
    <row r="27" spans="2:18" ht="12.95" customHeight="1" x14ac:dyDescent="0.2">
      <c r="B27" s="2559" t="s">
        <v>197</v>
      </c>
      <c r="C27" s="2449"/>
      <c r="D27" s="2449"/>
      <c r="E27" s="2449"/>
      <c r="F27" s="2449"/>
      <c r="G27" s="2449"/>
      <c r="H27" s="2449"/>
      <c r="I27" s="2449"/>
      <c r="J27" s="2449"/>
      <c r="K27" s="2450"/>
      <c r="L27" s="2496"/>
      <c r="M27" s="2496"/>
      <c r="N27" s="2496"/>
      <c r="O27" s="2405"/>
      <c r="P27" s="2" t="s">
        <v>193</v>
      </c>
      <c r="Q27" s="2027"/>
    </row>
    <row r="28" spans="2:18" ht="12.95" customHeight="1" x14ac:dyDescent="0.2">
      <c r="B28" s="2560"/>
      <c r="C28" s="2452"/>
      <c r="D28" s="2452"/>
      <c r="E28" s="2452"/>
      <c r="F28" s="2452"/>
      <c r="G28" s="2452"/>
      <c r="H28" s="2452"/>
      <c r="I28" s="2452"/>
      <c r="J28" s="2452"/>
      <c r="K28" s="2453"/>
      <c r="L28" s="2497"/>
      <c r="M28" s="2497"/>
      <c r="N28" s="2497"/>
      <c r="O28" s="2406"/>
      <c r="P28" s="781"/>
      <c r="Q28" s="2047"/>
    </row>
    <row r="29" spans="2:18" ht="12.95" customHeight="1" thickBot="1" x14ac:dyDescent="0.25">
      <c r="B29" s="2563">
        <v>1</v>
      </c>
      <c r="C29" s="2484"/>
      <c r="D29" s="2484"/>
      <c r="E29" s="2484"/>
      <c r="F29" s="2484"/>
      <c r="G29" s="2484"/>
      <c r="H29" s="2484"/>
      <c r="I29" s="2484"/>
      <c r="J29" s="2484"/>
      <c r="K29" s="2485"/>
      <c r="L29" s="690">
        <v>2</v>
      </c>
      <c r="M29" s="690">
        <v>3</v>
      </c>
      <c r="N29" s="690">
        <v>4</v>
      </c>
      <c r="O29" s="12">
        <v>5</v>
      </c>
      <c r="P29" s="13" t="s">
        <v>24</v>
      </c>
      <c r="Q29" s="2027"/>
    </row>
    <row r="30" spans="2:18" ht="12.95" customHeight="1" thickTop="1" x14ac:dyDescent="0.2">
      <c r="B30" s="777">
        <v>1</v>
      </c>
      <c r="C30" s="356" t="s">
        <v>440</v>
      </c>
      <c r="D30" s="356" t="s">
        <v>142</v>
      </c>
      <c r="E30" s="746"/>
      <c r="F30" s="358"/>
      <c r="G30" s="359">
        <v>5</v>
      </c>
      <c r="H30" s="359">
        <v>2</v>
      </c>
      <c r="I30" s="359"/>
      <c r="J30" s="359"/>
      <c r="K30" s="359"/>
      <c r="L30" s="28" t="s">
        <v>108</v>
      </c>
      <c r="M30" s="16"/>
      <c r="N30" s="16"/>
      <c r="O30" s="18"/>
      <c r="P30" s="48">
        <f>P31</f>
        <v>5550000</v>
      </c>
      <c r="Q30" s="2048">
        <v>9300000</v>
      </c>
      <c r="R30" s="782">
        <f>L12</f>
        <v>8700000</v>
      </c>
    </row>
    <row r="31" spans="2:18" ht="12.95" customHeight="1" x14ac:dyDescent="0.2">
      <c r="B31" s="777">
        <v>1</v>
      </c>
      <c r="C31" s="356" t="s">
        <v>440</v>
      </c>
      <c r="D31" s="356" t="s">
        <v>142</v>
      </c>
      <c r="E31" s="778" t="s">
        <v>142</v>
      </c>
      <c r="F31" s="358"/>
      <c r="G31" s="359"/>
      <c r="H31" s="359"/>
      <c r="I31" s="359"/>
      <c r="J31" s="359"/>
      <c r="K31" s="359"/>
      <c r="L31" s="25" t="s">
        <v>179</v>
      </c>
      <c r="M31" s="16"/>
      <c r="N31" s="16"/>
      <c r="O31" s="18"/>
      <c r="P31" s="49">
        <f>P32</f>
        <v>5550000</v>
      </c>
      <c r="Q31" s="2049"/>
      <c r="R31" s="721">
        <f>P30-R30</f>
        <v>-3150000</v>
      </c>
    </row>
    <row r="32" spans="2:18" ht="12.95" customHeight="1" x14ac:dyDescent="0.2">
      <c r="B32" s="777">
        <v>1</v>
      </c>
      <c r="C32" s="356" t="s">
        <v>440</v>
      </c>
      <c r="D32" s="356" t="s">
        <v>142</v>
      </c>
      <c r="E32" s="778" t="s">
        <v>142</v>
      </c>
      <c r="F32" s="745" t="s">
        <v>166</v>
      </c>
      <c r="G32" s="359"/>
      <c r="H32" s="359"/>
      <c r="I32" s="359"/>
      <c r="J32" s="359"/>
      <c r="K32" s="356"/>
      <c r="L32" s="25" t="s">
        <v>165</v>
      </c>
      <c r="M32" s="16"/>
      <c r="N32" s="16"/>
      <c r="O32" s="18"/>
      <c r="P32" s="49">
        <f>P34</f>
        <v>5550000</v>
      </c>
      <c r="Q32" s="2049"/>
    </row>
    <row r="33" spans="2:21" ht="12.95" customHeight="1" x14ac:dyDescent="0.2">
      <c r="B33" s="777"/>
      <c r="C33" s="356"/>
      <c r="D33" s="356"/>
      <c r="E33" s="778"/>
      <c r="F33" s="745"/>
      <c r="G33" s="359"/>
      <c r="H33" s="359"/>
      <c r="I33" s="359"/>
      <c r="J33" s="359"/>
      <c r="K33" s="356"/>
      <c r="L33" s="25"/>
      <c r="M33" s="16"/>
      <c r="N33" s="16"/>
      <c r="O33" s="18"/>
      <c r="P33" s="49"/>
      <c r="Q33" s="2049"/>
    </row>
    <row r="34" spans="2:21" ht="12.95" customHeight="1" x14ac:dyDescent="0.2">
      <c r="B34" s="777">
        <v>1</v>
      </c>
      <c r="C34" s="356" t="s">
        <v>440</v>
      </c>
      <c r="D34" s="356" t="s">
        <v>142</v>
      </c>
      <c r="E34" s="778" t="s">
        <v>142</v>
      </c>
      <c r="F34" s="745" t="s">
        <v>166</v>
      </c>
      <c r="G34" s="359">
        <v>5</v>
      </c>
      <c r="H34" s="359">
        <v>2</v>
      </c>
      <c r="I34" s="359">
        <v>2</v>
      </c>
      <c r="J34" s="359"/>
      <c r="K34" s="359"/>
      <c r="L34" s="56" t="s">
        <v>120</v>
      </c>
      <c r="M34" s="338"/>
      <c r="N34" s="185"/>
      <c r="O34" s="262"/>
      <c r="P34" s="49">
        <f>P35+P60</f>
        <v>5550000</v>
      </c>
      <c r="Q34" s="2049"/>
    </row>
    <row r="35" spans="2:21" ht="12.95" customHeight="1" x14ac:dyDescent="0.2">
      <c r="B35" s="777">
        <v>1</v>
      </c>
      <c r="C35" s="356" t="s">
        <v>440</v>
      </c>
      <c r="D35" s="356" t="s">
        <v>142</v>
      </c>
      <c r="E35" s="778" t="s">
        <v>142</v>
      </c>
      <c r="F35" s="745" t="s">
        <v>166</v>
      </c>
      <c r="G35" s="359">
        <v>5</v>
      </c>
      <c r="H35" s="359">
        <v>2</v>
      </c>
      <c r="I35" s="359">
        <v>2</v>
      </c>
      <c r="J35" s="356" t="s">
        <v>142</v>
      </c>
      <c r="K35" s="359"/>
      <c r="L35" s="25" t="s">
        <v>180</v>
      </c>
      <c r="M35" s="338"/>
      <c r="N35" s="185"/>
      <c r="O35" s="262"/>
      <c r="P35" s="49">
        <f>P36</f>
        <v>3750000</v>
      </c>
      <c r="Q35" s="2049"/>
      <c r="U35" s="721"/>
    </row>
    <row r="36" spans="2:21" ht="26.1" customHeight="1" x14ac:dyDescent="0.2">
      <c r="B36" s="777">
        <v>1</v>
      </c>
      <c r="C36" s="356" t="s">
        <v>440</v>
      </c>
      <c r="D36" s="356" t="s">
        <v>142</v>
      </c>
      <c r="E36" s="778" t="s">
        <v>142</v>
      </c>
      <c r="F36" s="745" t="s">
        <v>166</v>
      </c>
      <c r="G36" s="359">
        <v>5</v>
      </c>
      <c r="H36" s="359">
        <v>2</v>
      </c>
      <c r="I36" s="359">
        <v>2</v>
      </c>
      <c r="J36" s="356" t="s">
        <v>142</v>
      </c>
      <c r="K36" s="356" t="s">
        <v>168</v>
      </c>
      <c r="L36" s="622" t="s">
        <v>169</v>
      </c>
      <c r="M36" s="338"/>
      <c r="N36" s="185"/>
      <c r="O36" s="262"/>
      <c r="P36" s="1510">
        <f>SUM(P37:P58)</f>
        <v>3750000</v>
      </c>
      <c r="Q36" s="2055"/>
      <c r="R36" s="784"/>
      <c r="S36" s="721"/>
    </row>
    <row r="37" spans="2:21" ht="12.95" customHeight="1" x14ac:dyDescent="0.2">
      <c r="B37" s="777"/>
      <c r="C37" s="356"/>
      <c r="D37" s="356"/>
      <c r="E37" s="778"/>
      <c r="F37" s="745"/>
      <c r="G37" s="359"/>
      <c r="H37" s="359"/>
      <c r="I37" s="359"/>
      <c r="J37" s="356"/>
      <c r="K37" s="790"/>
      <c r="L37" s="1501" t="s">
        <v>745</v>
      </c>
      <c r="M37" s="1502" t="s">
        <v>1245</v>
      </c>
      <c r="N37" s="1503" t="s">
        <v>743</v>
      </c>
      <c r="O37" s="1504">
        <v>22000</v>
      </c>
      <c r="P37" s="783">
        <f t="shared" ref="P37:P58" si="0">O37*M37</f>
        <v>132000</v>
      </c>
      <c r="Q37" s="1474"/>
    </row>
    <row r="38" spans="2:21" ht="12.95" customHeight="1" x14ac:dyDescent="0.2">
      <c r="B38" s="777"/>
      <c r="C38" s="356"/>
      <c r="D38" s="356"/>
      <c r="E38" s="778"/>
      <c r="F38" s="745"/>
      <c r="G38" s="359"/>
      <c r="H38" s="359"/>
      <c r="I38" s="359"/>
      <c r="J38" s="356"/>
      <c r="K38" s="790"/>
      <c r="L38" s="1505" t="s">
        <v>746</v>
      </c>
      <c r="M38" s="1498" t="s">
        <v>1245</v>
      </c>
      <c r="N38" s="1499" t="s">
        <v>128</v>
      </c>
      <c r="O38" s="1500">
        <v>30000</v>
      </c>
      <c r="P38" s="783">
        <f t="shared" si="0"/>
        <v>180000</v>
      </c>
      <c r="Q38" s="1474"/>
      <c r="S38" s="721"/>
    </row>
    <row r="39" spans="2:21" ht="12.95" customHeight="1" x14ac:dyDescent="0.2">
      <c r="B39" s="777"/>
      <c r="C39" s="356"/>
      <c r="D39" s="356"/>
      <c r="E39" s="778"/>
      <c r="F39" s="745"/>
      <c r="G39" s="359"/>
      <c r="H39" s="359"/>
      <c r="I39" s="359"/>
      <c r="J39" s="356"/>
      <c r="K39" s="790"/>
      <c r="L39" s="1505" t="s">
        <v>747</v>
      </c>
      <c r="M39" s="1498" t="s">
        <v>1245</v>
      </c>
      <c r="N39" s="1499" t="s">
        <v>128</v>
      </c>
      <c r="O39" s="1500">
        <v>15000</v>
      </c>
      <c r="P39" s="783">
        <f t="shared" si="0"/>
        <v>90000</v>
      </c>
      <c r="Q39" s="1474"/>
    </row>
    <row r="40" spans="2:21" s="786" customFormat="1" ht="12.95" customHeight="1" x14ac:dyDescent="0.2">
      <c r="B40" s="777"/>
      <c r="C40" s="359"/>
      <c r="D40" s="359"/>
      <c r="E40" s="746"/>
      <c r="F40" s="358"/>
      <c r="G40" s="359"/>
      <c r="H40" s="359"/>
      <c r="I40" s="359"/>
      <c r="J40" s="359"/>
      <c r="K40" s="747"/>
      <c r="L40" s="1505" t="s">
        <v>748</v>
      </c>
      <c r="M40" s="1498" t="s">
        <v>1245</v>
      </c>
      <c r="N40" s="1499" t="s">
        <v>744</v>
      </c>
      <c r="O40" s="1500">
        <v>12000</v>
      </c>
      <c r="P40" s="785">
        <f t="shared" si="0"/>
        <v>72000</v>
      </c>
      <c r="Q40" s="2056"/>
    </row>
    <row r="41" spans="2:21" ht="12.95" customHeight="1" x14ac:dyDescent="0.2">
      <c r="B41" s="777"/>
      <c r="C41" s="359"/>
      <c r="D41" s="359"/>
      <c r="E41" s="746"/>
      <c r="F41" s="358"/>
      <c r="G41" s="359"/>
      <c r="H41" s="359"/>
      <c r="I41" s="359"/>
      <c r="J41" s="359"/>
      <c r="K41" s="747"/>
      <c r="L41" s="1505" t="s">
        <v>749</v>
      </c>
      <c r="M41" s="1498" t="s">
        <v>1245</v>
      </c>
      <c r="N41" s="1499" t="s">
        <v>744</v>
      </c>
      <c r="O41" s="1500">
        <v>11900</v>
      </c>
      <c r="P41" s="783">
        <f t="shared" si="0"/>
        <v>71400</v>
      </c>
      <c r="Q41" s="1474"/>
      <c r="S41" s="787"/>
    </row>
    <row r="42" spans="2:21" ht="12.95" customHeight="1" x14ac:dyDescent="0.2">
      <c r="B42" s="777"/>
      <c r="C42" s="359"/>
      <c r="D42" s="359"/>
      <c r="E42" s="746"/>
      <c r="F42" s="358"/>
      <c r="G42" s="359"/>
      <c r="H42" s="359"/>
      <c r="I42" s="359"/>
      <c r="J42" s="359"/>
      <c r="K42" s="747"/>
      <c r="L42" s="1505" t="s">
        <v>750</v>
      </c>
      <c r="M42" s="1498" t="s">
        <v>1246</v>
      </c>
      <c r="N42" s="1499" t="s">
        <v>128</v>
      </c>
      <c r="O42" s="1500">
        <v>407000</v>
      </c>
      <c r="P42" s="783">
        <f t="shared" si="0"/>
        <v>814000</v>
      </c>
      <c r="Q42" s="1474"/>
    </row>
    <row r="43" spans="2:21" ht="12.95" customHeight="1" x14ac:dyDescent="0.2">
      <c r="B43" s="777"/>
      <c r="C43" s="359"/>
      <c r="D43" s="359"/>
      <c r="E43" s="746"/>
      <c r="F43" s="358"/>
      <c r="G43" s="359"/>
      <c r="H43" s="359"/>
      <c r="I43" s="359"/>
      <c r="J43" s="359"/>
      <c r="K43" s="747"/>
      <c r="L43" s="1505" t="s">
        <v>751</v>
      </c>
      <c r="M43" s="1498" t="s">
        <v>593</v>
      </c>
      <c r="N43" s="1499" t="s">
        <v>128</v>
      </c>
      <c r="O43" s="1500">
        <v>46300</v>
      </c>
      <c r="P43" s="783">
        <f t="shared" si="0"/>
        <v>555600</v>
      </c>
      <c r="Q43" s="1474"/>
    </row>
    <row r="44" spans="2:21" ht="12.95" customHeight="1" x14ac:dyDescent="0.2">
      <c r="B44" s="777"/>
      <c r="C44" s="359"/>
      <c r="D44" s="359"/>
      <c r="E44" s="746"/>
      <c r="F44" s="358"/>
      <c r="G44" s="359"/>
      <c r="H44" s="359"/>
      <c r="I44" s="359"/>
      <c r="J44" s="359"/>
      <c r="K44" s="747"/>
      <c r="L44" s="1505" t="s">
        <v>752</v>
      </c>
      <c r="M44" s="1498" t="s">
        <v>1245</v>
      </c>
      <c r="N44" s="1499" t="s">
        <v>128</v>
      </c>
      <c r="O44" s="1500">
        <v>20000</v>
      </c>
      <c r="P44" s="783">
        <f t="shared" si="0"/>
        <v>120000</v>
      </c>
      <c r="Q44" s="1474"/>
    </row>
    <row r="45" spans="2:21" ht="12.95" customHeight="1" x14ac:dyDescent="0.2">
      <c r="B45" s="777"/>
      <c r="C45" s="359"/>
      <c r="D45" s="359"/>
      <c r="E45" s="746"/>
      <c r="F45" s="358"/>
      <c r="G45" s="359"/>
      <c r="H45" s="359"/>
      <c r="I45" s="359"/>
      <c r="J45" s="359"/>
      <c r="K45" s="747"/>
      <c r="L45" s="1505" t="s">
        <v>753</v>
      </c>
      <c r="M45" s="1498" t="s">
        <v>1247</v>
      </c>
      <c r="N45" s="1499" t="s">
        <v>128</v>
      </c>
      <c r="O45" s="1500">
        <v>44500</v>
      </c>
      <c r="P45" s="783">
        <f t="shared" si="0"/>
        <v>222500</v>
      </c>
      <c r="Q45" s="1474"/>
    </row>
    <row r="46" spans="2:21" ht="12.95" customHeight="1" x14ac:dyDescent="0.2">
      <c r="B46" s="777"/>
      <c r="C46" s="359"/>
      <c r="D46" s="359"/>
      <c r="E46" s="746"/>
      <c r="F46" s="358"/>
      <c r="G46" s="359"/>
      <c r="H46" s="359"/>
      <c r="I46" s="359"/>
      <c r="J46" s="359"/>
      <c r="K46" s="747"/>
      <c r="L46" s="1505" t="s">
        <v>754</v>
      </c>
      <c r="M46" s="1498" t="s">
        <v>1244</v>
      </c>
      <c r="N46" s="1499" t="s">
        <v>128</v>
      </c>
      <c r="O46" s="1500">
        <v>60000</v>
      </c>
      <c r="P46" s="783">
        <f t="shared" si="0"/>
        <v>240000</v>
      </c>
      <c r="Q46" s="1474"/>
    </row>
    <row r="47" spans="2:21" ht="12.95" customHeight="1" x14ac:dyDescent="0.2">
      <c r="B47" s="777"/>
      <c r="C47" s="356"/>
      <c r="D47" s="356"/>
      <c r="E47" s="778"/>
      <c r="F47" s="745"/>
      <c r="G47" s="359"/>
      <c r="H47" s="359"/>
      <c r="I47" s="359"/>
      <c r="J47" s="356"/>
      <c r="K47" s="790"/>
      <c r="L47" s="1505" t="s">
        <v>755</v>
      </c>
      <c r="M47" s="1498" t="s">
        <v>1248</v>
      </c>
      <c r="N47" s="1499" t="s">
        <v>128</v>
      </c>
      <c r="O47" s="1500">
        <v>11000</v>
      </c>
      <c r="P47" s="783">
        <f t="shared" si="0"/>
        <v>33000</v>
      </c>
      <c r="Q47" s="1474"/>
    </row>
    <row r="48" spans="2:21" ht="12.95" customHeight="1" x14ac:dyDescent="0.2">
      <c r="B48" s="777"/>
      <c r="C48" s="356"/>
      <c r="D48" s="356"/>
      <c r="E48" s="778"/>
      <c r="F48" s="745"/>
      <c r="G48" s="359"/>
      <c r="H48" s="359"/>
      <c r="I48" s="359"/>
      <c r="J48" s="356"/>
      <c r="K48" s="790"/>
      <c r="L48" s="1505" t="s">
        <v>756</v>
      </c>
      <c r="M48" s="1498" t="s">
        <v>1246</v>
      </c>
      <c r="N48" s="1499" t="s">
        <v>128</v>
      </c>
      <c r="O48" s="1500">
        <v>15000</v>
      </c>
      <c r="P48" s="783">
        <f t="shared" si="0"/>
        <v>30000</v>
      </c>
      <c r="Q48" s="1474"/>
    </row>
    <row r="49" spans="2:17" ht="12.95" customHeight="1" x14ac:dyDescent="0.2">
      <c r="B49" s="777"/>
      <c r="C49" s="356"/>
      <c r="D49" s="356"/>
      <c r="E49" s="778"/>
      <c r="F49" s="745"/>
      <c r="G49" s="359"/>
      <c r="H49" s="359"/>
      <c r="I49" s="359"/>
      <c r="J49" s="356"/>
      <c r="K49" s="790"/>
      <c r="L49" s="1505" t="s">
        <v>757</v>
      </c>
      <c r="M49" s="1498" t="s">
        <v>1248</v>
      </c>
      <c r="N49" s="1499" t="s">
        <v>128</v>
      </c>
      <c r="O49" s="1500">
        <v>65000</v>
      </c>
      <c r="P49" s="783">
        <f t="shared" si="0"/>
        <v>195000</v>
      </c>
      <c r="Q49" s="1474"/>
    </row>
    <row r="50" spans="2:17" ht="12.95" customHeight="1" x14ac:dyDescent="0.2">
      <c r="B50" s="777"/>
      <c r="C50" s="356"/>
      <c r="D50" s="356"/>
      <c r="E50" s="778"/>
      <c r="F50" s="745"/>
      <c r="G50" s="359"/>
      <c r="H50" s="359"/>
      <c r="I50" s="359"/>
      <c r="J50" s="356"/>
      <c r="K50" s="790"/>
      <c r="L50" s="1505" t="s">
        <v>758</v>
      </c>
      <c r="M50" s="1498" t="s">
        <v>1249</v>
      </c>
      <c r="N50" s="1499" t="s">
        <v>128</v>
      </c>
      <c r="O50" s="1500">
        <v>84700</v>
      </c>
      <c r="P50" s="783">
        <f t="shared" si="0"/>
        <v>84700</v>
      </c>
      <c r="Q50" s="1474"/>
    </row>
    <row r="51" spans="2:17" ht="12.95" customHeight="1" x14ac:dyDescent="0.2">
      <c r="B51" s="777"/>
      <c r="C51" s="356"/>
      <c r="D51" s="356"/>
      <c r="E51" s="778"/>
      <c r="F51" s="745"/>
      <c r="G51" s="359"/>
      <c r="H51" s="359"/>
      <c r="I51" s="359"/>
      <c r="J51" s="356"/>
      <c r="K51" s="790"/>
      <c r="L51" s="1505" t="s">
        <v>759</v>
      </c>
      <c r="M51" s="1498" t="s">
        <v>1245</v>
      </c>
      <c r="N51" s="1499" t="s">
        <v>128</v>
      </c>
      <c r="O51" s="1500">
        <v>9800</v>
      </c>
      <c r="P51" s="783">
        <f t="shared" si="0"/>
        <v>58800</v>
      </c>
      <c r="Q51" s="1474"/>
    </row>
    <row r="52" spans="2:17" ht="12.95" customHeight="1" x14ac:dyDescent="0.2">
      <c r="B52" s="777"/>
      <c r="C52" s="356"/>
      <c r="D52" s="356"/>
      <c r="E52" s="778"/>
      <c r="F52" s="745"/>
      <c r="G52" s="359"/>
      <c r="H52" s="359"/>
      <c r="I52" s="359"/>
      <c r="J52" s="356"/>
      <c r="K52" s="790"/>
      <c r="L52" s="1505" t="s">
        <v>760</v>
      </c>
      <c r="M52" s="1498" t="s">
        <v>1245</v>
      </c>
      <c r="N52" s="1499" t="s">
        <v>128</v>
      </c>
      <c r="O52" s="1500">
        <v>10000</v>
      </c>
      <c r="P52" s="783">
        <f t="shared" si="0"/>
        <v>60000</v>
      </c>
      <c r="Q52" s="1474"/>
    </row>
    <row r="53" spans="2:17" ht="12.95" customHeight="1" x14ac:dyDescent="0.2">
      <c r="B53" s="777"/>
      <c r="C53" s="356"/>
      <c r="D53" s="356"/>
      <c r="E53" s="778"/>
      <c r="F53" s="745"/>
      <c r="G53" s="359"/>
      <c r="H53" s="359"/>
      <c r="I53" s="359"/>
      <c r="J53" s="356"/>
      <c r="K53" s="790"/>
      <c r="L53" s="1505" t="s">
        <v>761</v>
      </c>
      <c r="M53" s="1498" t="s">
        <v>1250</v>
      </c>
      <c r="N53" s="1499" t="s">
        <v>744</v>
      </c>
      <c r="O53" s="1500">
        <v>25000</v>
      </c>
      <c r="P53" s="783">
        <f t="shared" si="0"/>
        <v>200000</v>
      </c>
      <c r="Q53" s="1474"/>
    </row>
    <row r="54" spans="2:17" ht="12.95" customHeight="1" x14ac:dyDescent="0.2">
      <c r="B54" s="777"/>
      <c r="C54" s="359"/>
      <c r="D54" s="359"/>
      <c r="E54" s="746"/>
      <c r="F54" s="358"/>
      <c r="G54" s="359"/>
      <c r="H54" s="359"/>
      <c r="I54" s="359"/>
      <c r="J54" s="359"/>
      <c r="K54" s="747"/>
      <c r="L54" s="1505" t="s">
        <v>762</v>
      </c>
      <c r="M54" s="1498" t="s">
        <v>1247</v>
      </c>
      <c r="N54" s="1499" t="s">
        <v>128</v>
      </c>
      <c r="O54" s="1500">
        <v>12000</v>
      </c>
      <c r="P54" s="783">
        <f t="shared" si="0"/>
        <v>60000</v>
      </c>
      <c r="Q54" s="1474"/>
    </row>
    <row r="55" spans="2:17" ht="12.95" customHeight="1" x14ac:dyDescent="0.2">
      <c r="B55" s="777"/>
      <c r="C55" s="359"/>
      <c r="D55" s="359"/>
      <c r="E55" s="746"/>
      <c r="F55" s="358"/>
      <c r="G55" s="359"/>
      <c r="H55" s="359"/>
      <c r="I55" s="359"/>
      <c r="J55" s="359"/>
      <c r="K55" s="747"/>
      <c r="L55" s="1505" t="s">
        <v>763</v>
      </c>
      <c r="M55" s="1498" t="s">
        <v>1248</v>
      </c>
      <c r="N55" s="1499" t="s">
        <v>128</v>
      </c>
      <c r="O55" s="1500">
        <v>29000</v>
      </c>
      <c r="P55" s="783">
        <f t="shared" si="0"/>
        <v>87000</v>
      </c>
      <c r="Q55" s="1474"/>
    </row>
    <row r="56" spans="2:17" ht="12.95" customHeight="1" x14ac:dyDescent="0.2">
      <c r="B56" s="777"/>
      <c r="C56" s="359"/>
      <c r="D56" s="359"/>
      <c r="E56" s="746"/>
      <c r="F56" s="358"/>
      <c r="G56" s="359"/>
      <c r="H56" s="359"/>
      <c r="I56" s="359"/>
      <c r="J56" s="359"/>
      <c r="K56" s="747"/>
      <c r="L56" s="1505" t="s">
        <v>764</v>
      </c>
      <c r="M56" s="1498" t="s">
        <v>1245</v>
      </c>
      <c r="N56" s="1499" t="s">
        <v>128</v>
      </c>
      <c r="O56" s="1500">
        <v>34000</v>
      </c>
      <c r="P56" s="783">
        <f t="shared" si="0"/>
        <v>204000</v>
      </c>
      <c r="Q56" s="1474"/>
    </row>
    <row r="57" spans="2:17" ht="12.95" customHeight="1" x14ac:dyDescent="0.2">
      <c r="B57" s="777"/>
      <c r="C57" s="359"/>
      <c r="D57" s="359"/>
      <c r="E57" s="746"/>
      <c r="F57" s="358"/>
      <c r="G57" s="359"/>
      <c r="H57" s="359"/>
      <c r="I57" s="359"/>
      <c r="J57" s="359"/>
      <c r="K57" s="747"/>
      <c r="L57" s="1505" t="s">
        <v>765</v>
      </c>
      <c r="M57" s="1498" t="s">
        <v>1245</v>
      </c>
      <c r="N57" s="1499" t="s">
        <v>128</v>
      </c>
      <c r="O57" s="1500">
        <v>18000</v>
      </c>
      <c r="P57" s="783">
        <f t="shared" si="0"/>
        <v>108000</v>
      </c>
      <c r="Q57" s="1474"/>
    </row>
    <row r="58" spans="2:17" ht="12.95" customHeight="1" x14ac:dyDescent="0.2">
      <c r="B58" s="777"/>
      <c r="C58" s="359"/>
      <c r="D58" s="359"/>
      <c r="E58" s="746"/>
      <c r="F58" s="358"/>
      <c r="G58" s="359"/>
      <c r="H58" s="359"/>
      <c r="I58" s="359"/>
      <c r="J58" s="359"/>
      <c r="K58" s="747"/>
      <c r="L58" s="1506" t="s">
        <v>766</v>
      </c>
      <c r="M58" s="1507" t="s">
        <v>1245</v>
      </c>
      <c r="N58" s="1508" t="s">
        <v>744</v>
      </c>
      <c r="O58" s="1509">
        <v>22000</v>
      </c>
      <c r="P58" s="783">
        <f t="shared" si="0"/>
        <v>132000</v>
      </c>
      <c r="Q58" s="1474"/>
    </row>
    <row r="59" spans="2:17" ht="12.95" customHeight="1" x14ac:dyDescent="0.2">
      <c r="B59" s="777"/>
      <c r="C59" s="359"/>
      <c r="D59" s="359"/>
      <c r="E59" s="746"/>
      <c r="F59" s="358"/>
      <c r="G59" s="359"/>
      <c r="H59" s="359"/>
      <c r="I59" s="359"/>
      <c r="J59" s="359"/>
      <c r="K59" s="359"/>
      <c r="L59" s="97"/>
      <c r="M59" s="127"/>
      <c r="N59" s="185"/>
      <c r="O59" s="270"/>
      <c r="P59" s="783"/>
      <c r="Q59" s="1474"/>
    </row>
    <row r="60" spans="2:17" ht="12.95" customHeight="1" x14ac:dyDescent="0.2">
      <c r="B60" s="777">
        <v>1</v>
      </c>
      <c r="C60" s="356" t="s">
        <v>440</v>
      </c>
      <c r="D60" s="356" t="s">
        <v>142</v>
      </c>
      <c r="E60" s="778" t="s">
        <v>142</v>
      </c>
      <c r="F60" s="745" t="s">
        <v>166</v>
      </c>
      <c r="G60" s="359">
        <v>5</v>
      </c>
      <c r="H60" s="359">
        <v>2</v>
      </c>
      <c r="I60" s="359">
        <v>2</v>
      </c>
      <c r="J60" s="356" t="s">
        <v>164</v>
      </c>
      <c r="K60" s="359"/>
      <c r="L60" s="134" t="s">
        <v>112</v>
      </c>
      <c r="M60" s="127"/>
      <c r="N60" s="185"/>
      <c r="O60" s="270"/>
      <c r="P60" s="49">
        <f>P61</f>
        <v>1800000</v>
      </c>
      <c r="Q60" s="2049"/>
    </row>
    <row r="61" spans="2:17" ht="12.95" customHeight="1" x14ac:dyDescent="0.2">
      <c r="B61" s="777">
        <v>1</v>
      </c>
      <c r="C61" s="356" t="s">
        <v>440</v>
      </c>
      <c r="D61" s="356" t="s">
        <v>142</v>
      </c>
      <c r="E61" s="778" t="s">
        <v>142</v>
      </c>
      <c r="F61" s="745" t="s">
        <v>166</v>
      </c>
      <c r="G61" s="359">
        <v>5</v>
      </c>
      <c r="H61" s="359">
        <v>2</v>
      </c>
      <c r="I61" s="359">
        <v>2</v>
      </c>
      <c r="J61" s="356" t="s">
        <v>164</v>
      </c>
      <c r="K61" s="356">
        <v>14</v>
      </c>
      <c r="L61" s="134" t="s">
        <v>268</v>
      </c>
      <c r="M61" s="127"/>
      <c r="N61" s="185"/>
      <c r="O61" s="270"/>
      <c r="P61" s="49">
        <f>P62</f>
        <v>1800000</v>
      </c>
      <c r="Q61" s="2049"/>
    </row>
    <row r="62" spans="2:17" ht="12.95" customHeight="1" x14ac:dyDescent="0.2">
      <c r="B62" s="777"/>
      <c r="C62" s="359"/>
      <c r="D62" s="359"/>
      <c r="E62" s="746"/>
      <c r="F62" s="358"/>
      <c r="G62" s="359"/>
      <c r="H62" s="359"/>
      <c r="I62" s="359"/>
      <c r="J62" s="359"/>
      <c r="K62" s="359"/>
      <c r="L62" s="791" t="s">
        <v>730</v>
      </c>
      <c r="M62" s="775">
        <v>1</v>
      </c>
      <c r="N62" s="185" t="s">
        <v>123</v>
      </c>
      <c r="O62" s="270">
        <v>1800000</v>
      </c>
      <c r="P62" s="783">
        <f>O62*M62</f>
        <v>1800000</v>
      </c>
      <c r="Q62" s="1474"/>
    </row>
    <row r="63" spans="2:17" ht="12.95" customHeight="1" x14ac:dyDescent="0.2">
      <c r="B63" s="777"/>
      <c r="C63" s="359"/>
      <c r="D63" s="359"/>
      <c r="E63" s="746"/>
      <c r="F63" s="2057"/>
      <c r="G63" s="359"/>
      <c r="H63" s="359"/>
      <c r="I63" s="359"/>
      <c r="J63" s="359"/>
      <c r="K63" s="359"/>
      <c r="L63" s="791"/>
      <c r="M63" s="2058"/>
      <c r="N63" s="821"/>
      <c r="O63" s="822"/>
      <c r="P63" s="2059"/>
      <c r="Q63" s="1474"/>
    </row>
    <row r="64" spans="2:17" ht="12.95" customHeight="1" x14ac:dyDescent="0.2">
      <c r="B64" s="777"/>
      <c r="C64" s="359"/>
      <c r="D64" s="359"/>
      <c r="E64" s="746"/>
      <c r="F64" s="779"/>
      <c r="G64" s="359"/>
      <c r="H64" s="359"/>
      <c r="I64" s="359"/>
      <c r="J64" s="359"/>
      <c r="K64" s="359"/>
      <c r="L64" s="730"/>
      <c r="M64" s="368"/>
      <c r="N64" s="368"/>
      <c r="O64" s="368"/>
      <c r="P64" s="2118"/>
      <c r="Q64" s="730"/>
    </row>
    <row r="65" spans="2:21" ht="12.95" customHeight="1" x14ac:dyDescent="0.2">
      <c r="B65" s="1075"/>
      <c r="C65" s="1060"/>
      <c r="D65" s="1076"/>
      <c r="E65" s="1076"/>
      <c r="F65" s="1076"/>
      <c r="G65" s="1076"/>
      <c r="H65" s="1076"/>
      <c r="I65" s="1076"/>
      <c r="J65" s="1076"/>
      <c r="K65" s="1076"/>
      <c r="L65" s="1076"/>
      <c r="M65" s="2289" t="s">
        <v>146</v>
      </c>
      <c r="N65" s="2289"/>
      <c r="O65" s="2512"/>
      <c r="P65" s="788">
        <f>P30</f>
        <v>5550000</v>
      </c>
      <c r="Q65" s="2049"/>
      <c r="S65" s="782"/>
      <c r="U65" s="721"/>
    </row>
    <row r="66" spans="2:21" ht="12.95" customHeight="1" x14ac:dyDescent="0.2">
      <c r="B66" s="695"/>
      <c r="C66" s="691"/>
      <c r="D66" s="691"/>
      <c r="E66" s="691"/>
      <c r="F66" s="691"/>
      <c r="G66" s="691"/>
      <c r="H66" s="691"/>
      <c r="I66" s="691"/>
      <c r="J66" s="691"/>
      <c r="K66" s="691"/>
      <c r="L66" s="691"/>
      <c r="M66" s="691"/>
      <c r="N66" s="691"/>
      <c r="O66" s="691"/>
      <c r="P66" s="814"/>
      <c r="Q66" s="2049"/>
      <c r="S66" s="782"/>
      <c r="U66" s="721"/>
    </row>
    <row r="67" spans="2:21" ht="12.95" customHeight="1" x14ac:dyDescent="0.2">
      <c r="B67" s="789"/>
      <c r="C67" s="131"/>
      <c r="D67" s="131"/>
      <c r="E67" s="131"/>
      <c r="F67" s="131"/>
      <c r="G67" s="131"/>
      <c r="H67" s="131"/>
      <c r="I67" s="131"/>
      <c r="J67" s="131"/>
      <c r="K67" s="131"/>
      <c r="L67" s="131"/>
      <c r="M67" s="2506" t="str">
        <f>'RECAP APBD'!E43</f>
        <v>Banda Aceh,                   2020</v>
      </c>
      <c r="N67" s="2506"/>
      <c r="O67" s="2506"/>
      <c r="P67" s="2507"/>
      <c r="Q67" s="2028"/>
      <c r="R67" s="131"/>
      <c r="S67" s="131"/>
      <c r="T67" s="131"/>
    </row>
    <row r="68" spans="2:21" ht="12.95" customHeight="1" x14ac:dyDescent="0.2">
      <c r="B68" s="789"/>
      <c r="C68" s="131"/>
      <c r="D68" s="131"/>
      <c r="E68" s="131"/>
      <c r="F68" s="131"/>
      <c r="G68" s="131"/>
      <c r="H68" s="131"/>
      <c r="I68" s="131"/>
      <c r="J68" s="131"/>
      <c r="K68" s="131"/>
      <c r="L68" s="171"/>
      <c r="M68" s="2381" t="str">
        <f>'RECAP APBD'!E44</f>
        <v>Pengguna Anggaran</v>
      </c>
      <c r="N68" s="2381"/>
      <c r="O68" s="2381"/>
      <c r="P68" s="2382"/>
      <c r="Q68" s="2023"/>
      <c r="R68" s="144"/>
      <c r="S68" s="144"/>
      <c r="T68" s="144"/>
      <c r="U68" s="721">
        <f>U65/4</f>
        <v>0</v>
      </c>
    </row>
    <row r="69" spans="2:21" ht="12.95" customHeight="1" x14ac:dyDescent="0.2">
      <c r="B69" s="789"/>
      <c r="C69" s="131"/>
      <c r="D69" s="131"/>
      <c r="E69" s="131"/>
      <c r="F69" s="131"/>
      <c r="G69" s="131"/>
      <c r="H69" s="131"/>
      <c r="I69" s="131"/>
      <c r="J69" s="131"/>
      <c r="K69" s="131"/>
      <c r="L69" s="131"/>
      <c r="M69" s="2381" t="str">
        <f>'RECAP APBD'!E45</f>
        <v>Satuan Kerja Perangkat Daerah</v>
      </c>
      <c r="N69" s="2381"/>
      <c r="O69" s="2381"/>
      <c r="P69" s="2382"/>
      <c r="Q69" s="2023"/>
      <c r="R69" s="144"/>
      <c r="S69" s="144"/>
      <c r="T69" s="144"/>
    </row>
    <row r="70" spans="2:21" ht="12.95" customHeight="1" x14ac:dyDescent="0.2">
      <c r="B70" s="789"/>
      <c r="C70" s="131"/>
      <c r="D70" s="131"/>
      <c r="E70" s="131"/>
      <c r="F70" s="131"/>
      <c r="G70" s="131"/>
      <c r="H70" s="131"/>
      <c r="I70" s="131"/>
      <c r="J70" s="131"/>
      <c r="K70" s="131"/>
      <c r="L70" s="131"/>
      <c r="M70" s="2381"/>
      <c r="N70" s="2381"/>
      <c r="O70" s="2381"/>
      <c r="P70" s="2382"/>
      <c r="Q70" s="2023"/>
      <c r="R70" s="730"/>
      <c r="S70" s="730"/>
      <c r="T70" s="730"/>
    </row>
    <row r="71" spans="2:21" ht="12.95" customHeight="1" x14ac:dyDescent="0.2">
      <c r="B71" s="789"/>
      <c r="C71" s="131"/>
      <c r="D71" s="131"/>
      <c r="E71" s="131"/>
      <c r="F71" s="131"/>
      <c r="G71" s="131"/>
      <c r="H71" s="131"/>
      <c r="I71" s="131"/>
      <c r="J71" s="131"/>
      <c r="K71" s="131"/>
      <c r="L71" s="131"/>
      <c r="M71" s="2510"/>
      <c r="N71" s="2510"/>
      <c r="O71" s="2510"/>
      <c r="P71" s="2511"/>
      <c r="Q71" s="2029"/>
      <c r="R71" s="730"/>
      <c r="S71" s="730"/>
      <c r="T71" s="730"/>
    </row>
    <row r="72" spans="2:21" ht="12.95" customHeight="1" x14ac:dyDescent="0.2">
      <c r="B72" s="789"/>
      <c r="C72" s="131"/>
      <c r="D72" s="131"/>
      <c r="E72" s="131"/>
      <c r="F72" s="131"/>
      <c r="G72" s="131"/>
      <c r="H72" s="131"/>
      <c r="I72" s="131"/>
      <c r="J72" s="131"/>
      <c r="K72" s="131"/>
      <c r="L72" s="131"/>
      <c r="M72" s="2199" t="str">
        <f>'RECAP APBD'!E48</f>
        <v>Bustami, SH</v>
      </c>
      <c r="N72" s="2199"/>
      <c r="O72" s="2199"/>
      <c r="P72" s="2200"/>
      <c r="Q72" s="2021"/>
      <c r="R72" s="730"/>
      <c r="S72" s="730"/>
      <c r="T72" s="730"/>
    </row>
    <row r="73" spans="2:21" ht="12.95" customHeight="1" x14ac:dyDescent="0.2">
      <c r="B73" s="789"/>
      <c r="C73" s="131"/>
      <c r="D73" s="131"/>
      <c r="E73" s="131"/>
      <c r="F73" s="131"/>
      <c r="G73" s="131"/>
      <c r="H73" s="131"/>
      <c r="I73" s="131"/>
      <c r="J73" s="131"/>
      <c r="K73" s="131"/>
      <c r="L73" s="730"/>
      <c r="M73" s="2191" t="str">
        <f>'RECAP APBD'!E49</f>
        <v>Pembina Utama Muda / Nip. 19630824 198703 1 004</v>
      </c>
      <c r="N73" s="2191"/>
      <c r="O73" s="2191"/>
      <c r="P73" s="2254"/>
      <c r="Q73" s="2020"/>
      <c r="R73" s="730"/>
      <c r="S73" s="730"/>
      <c r="T73" s="730"/>
    </row>
    <row r="74" spans="2:21" ht="12.95" customHeight="1" x14ac:dyDescent="0.2">
      <c r="B74" s="2501" t="s">
        <v>140</v>
      </c>
      <c r="C74" s="2502"/>
      <c r="D74" s="2502"/>
      <c r="E74" s="2502"/>
      <c r="F74" s="2502"/>
      <c r="G74" s="2502"/>
      <c r="H74" s="2502"/>
      <c r="I74" s="2502"/>
      <c r="J74" s="2502"/>
      <c r="K74" s="2502"/>
      <c r="L74" s="2502"/>
      <c r="M74" s="2513"/>
      <c r="N74" s="2513"/>
      <c r="O74" s="2513"/>
      <c r="P74" s="2514"/>
      <c r="Q74" s="571"/>
      <c r="R74" s="148"/>
      <c r="S74" s="148"/>
      <c r="T74" s="148"/>
    </row>
    <row r="75" spans="2:21" ht="12.95" customHeight="1" x14ac:dyDescent="0.2">
      <c r="B75" s="2501" t="s">
        <v>22</v>
      </c>
      <c r="C75" s="2502"/>
      <c r="D75" s="2502"/>
      <c r="E75" s="2502"/>
      <c r="F75" s="2502"/>
      <c r="G75" s="2502"/>
      <c r="H75" s="2502"/>
      <c r="I75" s="2502"/>
      <c r="J75" s="2502"/>
      <c r="K75" s="2502"/>
      <c r="L75" s="2502"/>
      <c r="M75" s="251"/>
      <c r="N75" s="2508"/>
      <c r="O75" s="2508"/>
      <c r="P75" s="2509"/>
      <c r="Q75" s="1490"/>
      <c r="R75" s="144"/>
      <c r="S75" s="144"/>
      <c r="T75" s="144"/>
    </row>
    <row r="76" spans="2:21" ht="12.95" customHeight="1" x14ac:dyDescent="0.2">
      <c r="B76" s="2501" t="s">
        <v>21</v>
      </c>
      <c r="C76" s="2502"/>
      <c r="D76" s="2502"/>
      <c r="E76" s="2502"/>
      <c r="F76" s="2502"/>
      <c r="G76" s="2502"/>
      <c r="H76" s="2502"/>
      <c r="I76" s="2502"/>
      <c r="J76" s="2502"/>
      <c r="K76" s="2502"/>
      <c r="L76" s="2502"/>
      <c r="M76" s="251"/>
      <c r="N76" s="2503"/>
      <c r="O76" s="2503"/>
      <c r="P76" s="2504"/>
      <c r="Q76" s="2034"/>
    </row>
    <row r="77" spans="2:21" ht="12.95" customHeight="1" x14ac:dyDescent="0.2">
      <c r="B77" s="2501" t="s">
        <v>204</v>
      </c>
      <c r="C77" s="2502"/>
      <c r="D77" s="2502"/>
      <c r="E77" s="2502"/>
      <c r="F77" s="2502"/>
      <c r="G77" s="2502"/>
      <c r="H77" s="2502"/>
      <c r="I77" s="2502"/>
      <c r="J77" s="2502"/>
      <c r="K77" s="2502"/>
      <c r="L77" s="2502"/>
      <c r="M77" s="2502"/>
      <c r="N77" s="2502"/>
      <c r="O77" s="2502"/>
      <c r="P77" s="2505"/>
      <c r="Q77" s="572"/>
    </row>
    <row r="78" spans="2:21" ht="12.95" customHeight="1" x14ac:dyDescent="0.2">
      <c r="B78" s="2501" t="s">
        <v>205</v>
      </c>
      <c r="C78" s="2502"/>
      <c r="D78" s="2502"/>
      <c r="E78" s="2502"/>
      <c r="F78" s="2502"/>
      <c r="G78" s="2502"/>
      <c r="H78" s="2502"/>
      <c r="I78" s="2502"/>
      <c r="J78" s="2502"/>
      <c r="K78" s="2502"/>
      <c r="L78" s="2502"/>
      <c r="M78" s="2502"/>
      <c r="N78" s="2502"/>
      <c r="O78" s="2502"/>
      <c r="P78" s="2505"/>
      <c r="Q78" s="572"/>
    </row>
    <row r="79" spans="2:21" ht="12.95" customHeight="1" thickBot="1" x14ac:dyDescent="0.25">
      <c r="B79" s="2517" t="s">
        <v>206</v>
      </c>
      <c r="C79" s="2518"/>
      <c r="D79" s="2518"/>
      <c r="E79" s="2518"/>
      <c r="F79" s="2518"/>
      <c r="G79" s="2518"/>
      <c r="H79" s="2518"/>
      <c r="I79" s="2518"/>
      <c r="J79" s="2518"/>
      <c r="K79" s="2518"/>
      <c r="L79" s="2518"/>
      <c r="M79" s="2518"/>
      <c r="N79" s="2518"/>
      <c r="O79" s="2518"/>
      <c r="P79" s="2519"/>
      <c r="Q79" s="572"/>
    </row>
    <row r="80" spans="2:21" ht="12.95" customHeight="1" thickTop="1" x14ac:dyDescent="0.2">
      <c r="B80" s="2523" t="s">
        <v>25</v>
      </c>
      <c r="C80" s="2524"/>
      <c r="D80" s="2524"/>
      <c r="E80" s="2524"/>
      <c r="F80" s="2524"/>
      <c r="G80" s="2524"/>
      <c r="H80" s="2524"/>
      <c r="I80" s="2524"/>
      <c r="J80" s="2524"/>
      <c r="K80" s="2524"/>
      <c r="L80" s="2524"/>
      <c r="M80" s="2524"/>
      <c r="N80" s="2524"/>
      <c r="O80" s="2524"/>
      <c r="P80" s="2525"/>
      <c r="Q80" s="2023"/>
    </row>
    <row r="81" spans="2:17" ht="12.95" customHeight="1" thickBot="1" x14ac:dyDescent="0.25">
      <c r="B81" s="2526" t="s">
        <v>207</v>
      </c>
      <c r="C81" s="2527"/>
      <c r="D81" s="2528" t="s">
        <v>208</v>
      </c>
      <c r="E81" s="2529"/>
      <c r="F81" s="2529"/>
      <c r="G81" s="2529"/>
      <c r="H81" s="2529"/>
      <c r="I81" s="2529"/>
      <c r="J81" s="2529"/>
      <c r="K81" s="2529"/>
      <c r="L81" s="2530"/>
      <c r="M81" s="2531" t="s">
        <v>209</v>
      </c>
      <c r="N81" s="2530"/>
      <c r="O81" s="4" t="s">
        <v>210</v>
      </c>
      <c r="P81" s="92" t="s">
        <v>211</v>
      </c>
      <c r="Q81" s="2027"/>
    </row>
    <row r="82" spans="2:17" ht="12.95" customHeight="1" thickTop="1" x14ac:dyDescent="0.2">
      <c r="B82" s="2535">
        <v>1</v>
      </c>
      <c r="C82" s="2536"/>
      <c r="D82" s="2532"/>
      <c r="E82" s="2533"/>
      <c r="F82" s="2533"/>
      <c r="G82" s="2533"/>
      <c r="H82" s="2533"/>
      <c r="I82" s="2533"/>
      <c r="J82" s="2533"/>
      <c r="K82" s="2533"/>
      <c r="L82" s="2534"/>
      <c r="M82" s="2538"/>
      <c r="N82" s="2539"/>
      <c r="O82" s="1073"/>
      <c r="P82" s="1177" t="s">
        <v>10</v>
      </c>
      <c r="Q82" s="1257"/>
    </row>
    <row r="83" spans="2:17" ht="12.95" customHeight="1" x14ac:dyDescent="0.2">
      <c r="B83" s="2522">
        <v>2</v>
      </c>
      <c r="C83" s="2240"/>
      <c r="D83" s="1116"/>
      <c r="E83" s="1117"/>
      <c r="F83" s="1117"/>
      <c r="G83" s="1117"/>
      <c r="H83" s="1117"/>
      <c r="I83" s="1117"/>
      <c r="J83" s="1117"/>
      <c r="K83" s="1117"/>
      <c r="L83" s="1118"/>
      <c r="M83" s="2442"/>
      <c r="N83" s="2247"/>
      <c r="O83" s="1085"/>
      <c r="P83" s="1177" t="s">
        <v>11</v>
      </c>
      <c r="Q83" s="1257"/>
    </row>
    <row r="84" spans="2:17" ht="12.95" customHeight="1" x14ac:dyDescent="0.2">
      <c r="B84" s="2522">
        <v>3</v>
      </c>
      <c r="C84" s="2240"/>
      <c r="D84" s="1116"/>
      <c r="E84" s="1117"/>
      <c r="F84" s="1117"/>
      <c r="G84" s="1117"/>
      <c r="H84" s="1117"/>
      <c r="I84" s="1117"/>
      <c r="J84" s="1117"/>
      <c r="K84" s="1117"/>
      <c r="L84" s="1118"/>
      <c r="M84" s="2442"/>
      <c r="N84" s="2247"/>
      <c r="O84" s="1085"/>
      <c r="P84" s="1177" t="s">
        <v>12</v>
      </c>
      <c r="Q84" s="1257"/>
    </row>
    <row r="85" spans="2:17" ht="12.95" customHeight="1" x14ac:dyDescent="0.2">
      <c r="B85" s="2522">
        <v>4</v>
      </c>
      <c r="C85" s="2240"/>
      <c r="D85" s="1116"/>
      <c r="E85" s="1117"/>
      <c r="F85" s="1117"/>
      <c r="G85" s="1117"/>
      <c r="H85" s="1117"/>
      <c r="I85" s="1117"/>
      <c r="J85" s="1117"/>
      <c r="K85" s="1117"/>
      <c r="L85" s="1118"/>
      <c r="M85" s="2443"/>
      <c r="N85" s="2253"/>
      <c r="O85" s="1085"/>
      <c r="P85" s="1177" t="s">
        <v>13</v>
      </c>
      <c r="Q85" s="1257"/>
    </row>
    <row r="86" spans="2:17" ht="12.95" customHeight="1" x14ac:dyDescent="0.2">
      <c r="B86" s="2522">
        <v>5</v>
      </c>
      <c r="C86" s="2240"/>
      <c r="D86" s="1116"/>
      <c r="E86" s="1117"/>
      <c r="F86" s="1117"/>
      <c r="G86" s="1117"/>
      <c r="H86" s="1117"/>
      <c r="I86" s="1117"/>
      <c r="J86" s="1117"/>
      <c r="K86" s="1117"/>
      <c r="L86" s="1118"/>
      <c r="M86" s="2443"/>
      <c r="N86" s="2253"/>
      <c r="O86" s="1085"/>
      <c r="P86" s="1177" t="s">
        <v>14</v>
      </c>
      <c r="Q86" s="1257"/>
    </row>
    <row r="87" spans="2:17" ht="12.95" customHeight="1" x14ac:dyDescent="0.2">
      <c r="B87" s="2522">
        <v>6</v>
      </c>
      <c r="C87" s="2240"/>
      <c r="D87" s="1116"/>
      <c r="E87" s="1117"/>
      <c r="F87" s="1117"/>
      <c r="G87" s="1117"/>
      <c r="H87" s="1117"/>
      <c r="I87" s="1117"/>
      <c r="J87" s="1117"/>
      <c r="K87" s="1117"/>
      <c r="L87" s="1118"/>
      <c r="M87" s="2443"/>
      <c r="N87" s="2253"/>
      <c r="O87" s="1085"/>
      <c r="P87" s="1178" t="s">
        <v>42</v>
      </c>
      <c r="Q87" s="2052"/>
    </row>
    <row r="88" spans="2:17" ht="12.95" customHeight="1" thickBot="1" x14ac:dyDescent="0.25">
      <c r="B88" s="2520">
        <v>7</v>
      </c>
      <c r="C88" s="2521"/>
      <c r="D88" s="1119"/>
      <c r="E88" s="1120"/>
      <c r="F88" s="1120"/>
      <c r="G88" s="1120"/>
      <c r="H88" s="1120"/>
      <c r="I88" s="1120"/>
      <c r="J88" s="1120"/>
      <c r="K88" s="1120"/>
      <c r="L88" s="1121"/>
      <c r="M88" s="2537"/>
      <c r="N88" s="2300"/>
      <c r="O88" s="1061"/>
      <c r="P88" s="1179" t="s">
        <v>487</v>
      </c>
      <c r="Q88" s="2053"/>
    </row>
    <row r="89" spans="2:17" ht="13.5" thickTop="1" x14ac:dyDescent="0.2"/>
  </sheetData>
  <mergeCells count="83">
    <mergeCell ref="B86:C86"/>
    <mergeCell ref="B85:C85"/>
    <mergeCell ref="M85:N85"/>
    <mergeCell ref="M86:N86"/>
    <mergeCell ref="B88:C88"/>
    <mergeCell ref="B87:C87"/>
    <mergeCell ref="M87:N87"/>
    <mergeCell ref="M88:N88"/>
    <mergeCell ref="B84:C84"/>
    <mergeCell ref="B82:C82"/>
    <mergeCell ref="B83:C83"/>
    <mergeCell ref="D82:L82"/>
    <mergeCell ref="M82:N82"/>
    <mergeCell ref="M83:N83"/>
    <mergeCell ref="M84:N84"/>
    <mergeCell ref="B79:P79"/>
    <mergeCell ref="B80:P80"/>
    <mergeCell ref="B81:C81"/>
    <mergeCell ref="N76:P76"/>
    <mergeCell ref="B77:P77"/>
    <mergeCell ref="B76:L76"/>
    <mergeCell ref="B78:P78"/>
    <mergeCell ref="D81:L81"/>
    <mergeCell ref="M81:N81"/>
    <mergeCell ref="B74:L74"/>
    <mergeCell ref="B75:L75"/>
    <mergeCell ref="M68:P68"/>
    <mergeCell ref="M69:P69"/>
    <mergeCell ref="M74:P74"/>
    <mergeCell ref="N75:P75"/>
    <mergeCell ref="M73:P73"/>
    <mergeCell ref="M67:P67"/>
    <mergeCell ref="M72:P72"/>
    <mergeCell ref="M70:P70"/>
    <mergeCell ref="M71:P71"/>
    <mergeCell ref="M65:O65"/>
    <mergeCell ref="B29:K29"/>
    <mergeCell ref="B22:P22"/>
    <mergeCell ref="B23:P23"/>
    <mergeCell ref="B24:P24"/>
    <mergeCell ref="B25:K25"/>
    <mergeCell ref="L25:L28"/>
    <mergeCell ref="M25:O25"/>
    <mergeCell ref="B26:K26"/>
    <mergeCell ref="M26:M28"/>
    <mergeCell ref="N26:N28"/>
    <mergeCell ref="O26:O28"/>
    <mergeCell ref="B20:K20"/>
    <mergeCell ref="L20:N20"/>
    <mergeCell ref="O20:P20"/>
    <mergeCell ref="B27:K27"/>
    <mergeCell ref="B28:K28"/>
    <mergeCell ref="B21:P21"/>
    <mergeCell ref="B18:K18"/>
    <mergeCell ref="L18:N18"/>
    <mergeCell ref="O18:P18"/>
    <mergeCell ref="B19:K19"/>
    <mergeCell ref="L19:N19"/>
    <mergeCell ref="O19:P19"/>
    <mergeCell ref="O16:P16"/>
    <mergeCell ref="B13:K13"/>
    <mergeCell ref="B14:K14"/>
    <mergeCell ref="B17:K17"/>
    <mergeCell ref="L17:N17"/>
    <mergeCell ref="O17:P17"/>
    <mergeCell ref="B16:K16"/>
    <mergeCell ref="L16:N16"/>
    <mergeCell ref="F2:O2"/>
    <mergeCell ref="P2:P3"/>
    <mergeCell ref="F3:O3"/>
    <mergeCell ref="B4:O4"/>
    <mergeCell ref="P4:P5"/>
    <mergeCell ref="B5:O5"/>
    <mergeCell ref="B6:J6"/>
    <mergeCell ref="M6:P6"/>
    <mergeCell ref="B9:K9"/>
    <mergeCell ref="B11:K11"/>
    <mergeCell ref="L11:P11"/>
    <mergeCell ref="B12:K12"/>
    <mergeCell ref="B7:K7"/>
    <mergeCell ref="M7:P7"/>
    <mergeCell ref="B8:K8"/>
    <mergeCell ref="B15:P15"/>
  </mergeCells>
  <phoneticPr fontId="14" type="noConversion"/>
  <pageMargins left="0.61" right="0.23622047244094499" top="0.48622047200000001" bottom="0.47244094488188998" header="0.23622047244094499" footer="0.47244094488188998"/>
  <pageSetup paperSize="5" scale="80" orientation="portrait" horizontalDpi="4294967294" verticalDpi="4294967294"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B1:T100"/>
  <sheetViews>
    <sheetView view="pageBreakPreview" topLeftCell="K23" zoomScale="70" zoomScaleSheetLayoutView="70" workbookViewId="0">
      <selection activeCell="P45" sqref="P45"/>
    </sheetView>
  </sheetViews>
  <sheetFormatPr defaultColWidth="8.7109375" defaultRowHeight="12.75" x14ac:dyDescent="0.2"/>
  <cols>
    <col min="1" max="1" width="4.42578125" style="715" customWidth="1"/>
    <col min="2" max="11" width="2.7109375" style="715" customWidth="1"/>
    <col min="12" max="12" width="47.5703125" style="715" customWidth="1"/>
    <col min="13" max="13" width="12.42578125" style="715" customWidth="1"/>
    <col min="14" max="14" width="8.5703125" style="715" customWidth="1"/>
    <col min="15" max="15" width="13.5703125" style="715" customWidth="1"/>
    <col min="16" max="17" width="17.5703125" style="715" customWidth="1"/>
    <col min="18" max="18" width="13.7109375" style="715" customWidth="1"/>
    <col min="19" max="19" width="14.28515625" style="715" bestFit="1" customWidth="1"/>
    <col min="20" max="20" width="10.140625" style="715" customWidth="1"/>
    <col min="21" max="16384" width="8.7109375" style="715"/>
  </cols>
  <sheetData>
    <row r="1" spans="2:17" ht="18" customHeight="1" thickBot="1" x14ac:dyDescent="0.25"/>
    <row r="2" spans="2:17" s="716" customFormat="1" ht="18.95" customHeight="1" thickTop="1" x14ac:dyDescent="0.2">
      <c r="B2" s="72"/>
      <c r="C2" s="73"/>
      <c r="D2" s="73"/>
      <c r="E2" s="73"/>
      <c r="F2" s="2174" t="s">
        <v>212</v>
      </c>
      <c r="G2" s="2174"/>
      <c r="H2" s="2174"/>
      <c r="I2" s="2174"/>
      <c r="J2" s="2174"/>
      <c r="K2" s="2174"/>
      <c r="L2" s="2174"/>
      <c r="M2" s="2174"/>
      <c r="N2" s="2174"/>
      <c r="O2" s="2175"/>
      <c r="P2" s="2178" t="s">
        <v>67</v>
      </c>
      <c r="Q2" s="2024"/>
    </row>
    <row r="3" spans="2:17" s="716" customFormat="1" ht="18.95" customHeight="1" x14ac:dyDescent="0.2">
      <c r="B3" s="74"/>
      <c r="C3" s="7"/>
      <c r="D3" s="7"/>
      <c r="E3" s="7"/>
      <c r="F3" s="2465" t="s">
        <v>183</v>
      </c>
      <c r="G3" s="2465"/>
      <c r="H3" s="2465"/>
      <c r="I3" s="2465"/>
      <c r="J3" s="2465"/>
      <c r="K3" s="2465"/>
      <c r="L3" s="2465"/>
      <c r="M3" s="2465"/>
      <c r="N3" s="2465"/>
      <c r="O3" s="2466"/>
      <c r="P3" s="2464"/>
      <c r="Q3" s="2024"/>
    </row>
    <row r="4" spans="2:17" ht="12.95" customHeight="1" x14ac:dyDescent="0.2">
      <c r="B4" s="2380" t="s">
        <v>33</v>
      </c>
      <c r="C4" s="2381"/>
      <c r="D4" s="2381"/>
      <c r="E4" s="2381"/>
      <c r="F4" s="2381"/>
      <c r="G4" s="2381"/>
      <c r="H4" s="2381"/>
      <c r="I4" s="2381"/>
      <c r="J4" s="2381"/>
      <c r="K4" s="2381"/>
      <c r="L4" s="2381"/>
      <c r="M4" s="2381"/>
      <c r="N4" s="2381"/>
      <c r="O4" s="2467"/>
      <c r="P4" s="2468" t="s">
        <v>30</v>
      </c>
      <c r="Q4" s="2040"/>
    </row>
    <row r="5" spans="2:17" ht="12.95" customHeight="1" thickBot="1" x14ac:dyDescent="0.25">
      <c r="B5" s="2373" t="str">
        <f>'RECAP APBD'!B5</f>
        <v>Tahun Anggaran 2020</v>
      </c>
      <c r="C5" s="2374"/>
      <c r="D5" s="2374"/>
      <c r="E5" s="2374"/>
      <c r="F5" s="2374"/>
      <c r="G5" s="2374"/>
      <c r="H5" s="2374"/>
      <c r="I5" s="2374"/>
      <c r="J5" s="2374"/>
      <c r="K5" s="2374"/>
      <c r="L5" s="2374"/>
      <c r="M5" s="2374"/>
      <c r="N5" s="2374"/>
      <c r="O5" s="2470"/>
      <c r="P5" s="2469"/>
      <c r="Q5" s="2040"/>
    </row>
    <row r="6" spans="2:17" ht="12.95" customHeight="1" x14ac:dyDescent="0.2">
      <c r="B6" s="2462" t="s">
        <v>241</v>
      </c>
      <c r="C6" s="2463"/>
      <c r="D6" s="2463"/>
      <c r="E6" s="2463"/>
      <c r="F6" s="2463"/>
      <c r="G6" s="2463"/>
      <c r="H6" s="2463"/>
      <c r="I6" s="2463"/>
      <c r="J6" s="2463"/>
      <c r="K6" s="2463"/>
      <c r="L6" s="684" t="s">
        <v>442</v>
      </c>
      <c r="M6" s="2213" t="s">
        <v>437</v>
      </c>
      <c r="N6" s="2213"/>
      <c r="O6" s="2213"/>
      <c r="P6" s="2214"/>
      <c r="Q6" s="296"/>
    </row>
    <row r="7" spans="2:17" ht="12.95" customHeight="1" x14ac:dyDescent="0.2">
      <c r="B7" s="2471" t="s">
        <v>248</v>
      </c>
      <c r="C7" s="2355"/>
      <c r="D7" s="2355"/>
      <c r="E7" s="2355"/>
      <c r="F7" s="2355"/>
      <c r="G7" s="2355"/>
      <c r="H7" s="2355"/>
      <c r="I7" s="2355"/>
      <c r="J7" s="2355"/>
      <c r="K7" s="2355"/>
      <c r="L7" s="654" t="s">
        <v>441</v>
      </c>
      <c r="M7" s="2541" t="s">
        <v>466</v>
      </c>
      <c r="N7" s="2541"/>
      <c r="O7" s="2541"/>
      <c r="P7" s="2542"/>
      <c r="Q7" s="512"/>
    </row>
    <row r="8" spans="2:17" ht="12.95" customHeight="1" x14ac:dyDescent="0.2">
      <c r="B8" s="2471" t="s">
        <v>246</v>
      </c>
      <c r="C8" s="2355"/>
      <c r="D8" s="2355"/>
      <c r="E8" s="2355"/>
      <c r="F8" s="2355"/>
      <c r="G8" s="2355"/>
      <c r="H8" s="2355"/>
      <c r="I8" s="2355"/>
      <c r="J8" s="2355"/>
      <c r="K8" s="2355"/>
      <c r="L8" s="654" t="s">
        <v>443</v>
      </c>
      <c r="M8" s="29" t="s">
        <v>124</v>
      </c>
      <c r="N8" s="30"/>
      <c r="O8" s="30"/>
      <c r="P8" s="75"/>
      <c r="Q8" s="2054"/>
    </row>
    <row r="9" spans="2:17" s="717" customFormat="1" ht="12.95" customHeight="1" x14ac:dyDescent="0.2">
      <c r="B9" s="2571" t="s">
        <v>247</v>
      </c>
      <c r="C9" s="2548"/>
      <c r="D9" s="2548"/>
      <c r="E9" s="2548"/>
      <c r="F9" s="2548"/>
      <c r="G9" s="2548"/>
      <c r="H9" s="2548"/>
      <c r="I9" s="2548"/>
      <c r="J9" s="2548"/>
      <c r="K9" s="2548"/>
      <c r="L9" s="34" t="s">
        <v>446</v>
      </c>
      <c r="M9" s="29" t="s">
        <v>131</v>
      </c>
      <c r="N9" s="29"/>
      <c r="O9" s="29"/>
      <c r="P9" s="76"/>
      <c r="Q9" s="2043"/>
    </row>
    <row r="10" spans="2:17" s="717" customFormat="1" ht="12.95" customHeight="1" x14ac:dyDescent="0.2">
      <c r="B10" s="685"/>
      <c r="C10" s="686"/>
      <c r="D10" s="686"/>
      <c r="E10" s="686"/>
      <c r="F10" s="686"/>
      <c r="G10" s="686"/>
      <c r="H10" s="686"/>
      <c r="I10" s="686"/>
      <c r="J10" s="686"/>
      <c r="K10" s="686"/>
      <c r="L10" s="654"/>
      <c r="M10" s="29"/>
      <c r="N10" s="29"/>
      <c r="O10" s="29"/>
      <c r="P10" s="76"/>
      <c r="Q10" s="2043"/>
    </row>
    <row r="11" spans="2:17" ht="12.95" customHeight="1" x14ac:dyDescent="0.2">
      <c r="B11" s="2471" t="s">
        <v>221</v>
      </c>
      <c r="C11" s="2355"/>
      <c r="D11" s="2355"/>
      <c r="E11" s="2355"/>
      <c r="F11" s="2355"/>
      <c r="G11" s="2355"/>
      <c r="H11" s="2355"/>
      <c r="I11" s="2355"/>
      <c r="J11" s="2355"/>
      <c r="K11" s="2355"/>
      <c r="L11" s="2475" t="s">
        <v>899</v>
      </c>
      <c r="M11" s="2475"/>
      <c r="N11" s="2475"/>
      <c r="O11" s="2475"/>
      <c r="P11" s="2476"/>
      <c r="Q11" s="2044"/>
    </row>
    <row r="12" spans="2:17" ht="12.95" customHeight="1" x14ac:dyDescent="0.2">
      <c r="B12" s="2471" t="s">
        <v>222</v>
      </c>
      <c r="C12" s="2355"/>
      <c r="D12" s="2355"/>
      <c r="E12" s="2355"/>
      <c r="F12" s="2355"/>
      <c r="G12" s="2355"/>
      <c r="H12" s="2355"/>
      <c r="I12" s="2355"/>
      <c r="J12" s="2355"/>
      <c r="K12" s="2355"/>
      <c r="L12" s="152">
        <v>21510000</v>
      </c>
      <c r="M12" s="35"/>
      <c r="N12" s="35"/>
      <c r="O12" s="35"/>
      <c r="P12" s="77"/>
      <c r="Q12" s="2045"/>
    </row>
    <row r="13" spans="2:17" ht="12.95" customHeight="1" x14ac:dyDescent="0.2">
      <c r="B13" s="2471" t="s">
        <v>223</v>
      </c>
      <c r="C13" s="2355"/>
      <c r="D13" s="2355"/>
      <c r="E13" s="2355"/>
      <c r="F13" s="2355"/>
      <c r="G13" s="2355"/>
      <c r="H13" s="2355"/>
      <c r="I13" s="2355"/>
      <c r="J13" s="2355"/>
      <c r="K13" s="2355"/>
      <c r="L13" s="152">
        <f>O18</f>
        <v>10755125</v>
      </c>
      <c r="M13" s="35"/>
      <c r="N13" s="35"/>
      <c r="O13" s="35"/>
      <c r="P13" s="77"/>
      <c r="Q13" s="2045"/>
    </row>
    <row r="14" spans="2:17" ht="12.95" customHeight="1" x14ac:dyDescent="0.2">
      <c r="B14" s="2471" t="s">
        <v>224</v>
      </c>
      <c r="C14" s="2355"/>
      <c r="D14" s="2355"/>
      <c r="E14" s="2355"/>
      <c r="F14" s="2355"/>
      <c r="G14" s="2355"/>
      <c r="H14" s="2355"/>
      <c r="I14" s="2355"/>
      <c r="J14" s="2355"/>
      <c r="K14" s="2355"/>
      <c r="L14" s="152">
        <f>L13+(L13*5%)</f>
        <v>11292881.25</v>
      </c>
      <c r="M14" s="35"/>
      <c r="N14" s="35"/>
      <c r="O14" s="35"/>
      <c r="P14" s="77"/>
      <c r="Q14" s="2045"/>
    </row>
    <row r="15" spans="2:17" ht="12.95" customHeight="1" x14ac:dyDescent="0.2">
      <c r="B15" s="2479" t="s">
        <v>225</v>
      </c>
      <c r="C15" s="2289"/>
      <c r="D15" s="2289"/>
      <c r="E15" s="2289"/>
      <c r="F15" s="2289"/>
      <c r="G15" s="2289"/>
      <c r="H15" s="2289"/>
      <c r="I15" s="2289"/>
      <c r="J15" s="2289"/>
      <c r="K15" s="2289"/>
      <c r="L15" s="2289"/>
      <c r="M15" s="2289"/>
      <c r="N15" s="2289"/>
      <c r="O15" s="2289"/>
      <c r="P15" s="2290"/>
      <c r="Q15" s="520"/>
    </row>
    <row r="16" spans="2:17" ht="12.95" customHeight="1" x14ac:dyDescent="0.2">
      <c r="B16" s="2479" t="s">
        <v>36</v>
      </c>
      <c r="C16" s="2289"/>
      <c r="D16" s="2289"/>
      <c r="E16" s="2289"/>
      <c r="F16" s="2289"/>
      <c r="G16" s="2289"/>
      <c r="H16" s="2289"/>
      <c r="I16" s="2289"/>
      <c r="J16" s="2289"/>
      <c r="K16" s="2480"/>
      <c r="L16" s="2289" t="s">
        <v>226</v>
      </c>
      <c r="M16" s="2289"/>
      <c r="N16" s="2480"/>
      <c r="O16" s="2481" t="s">
        <v>227</v>
      </c>
      <c r="P16" s="2482"/>
      <c r="Q16" s="520"/>
    </row>
    <row r="17" spans="2:19" ht="12.95" customHeight="1" x14ac:dyDescent="0.2">
      <c r="B17" s="2454" t="s">
        <v>37</v>
      </c>
      <c r="C17" s="2286"/>
      <c r="D17" s="2286"/>
      <c r="E17" s="2286"/>
      <c r="F17" s="2286"/>
      <c r="G17" s="2286"/>
      <c r="H17" s="2286"/>
      <c r="I17" s="2286"/>
      <c r="J17" s="2286"/>
      <c r="K17" s="2455"/>
      <c r="L17" s="2457" t="s">
        <v>702</v>
      </c>
      <c r="M17" s="2457"/>
      <c r="N17" s="2458"/>
      <c r="O17" s="2474">
        <v>1</v>
      </c>
      <c r="P17" s="2229"/>
      <c r="Q17" s="2028"/>
    </row>
    <row r="18" spans="2:19" ht="12.95" customHeight="1" x14ac:dyDescent="0.2">
      <c r="B18" s="2454" t="s">
        <v>228</v>
      </c>
      <c r="C18" s="2286"/>
      <c r="D18" s="2286"/>
      <c r="E18" s="2286"/>
      <c r="F18" s="2286"/>
      <c r="G18" s="2286"/>
      <c r="H18" s="2286"/>
      <c r="I18" s="2286"/>
      <c r="J18" s="2286"/>
      <c r="K18" s="2455"/>
      <c r="L18" s="2457" t="s">
        <v>287</v>
      </c>
      <c r="M18" s="2457"/>
      <c r="N18" s="2458"/>
      <c r="O18" s="2459">
        <f>P29</f>
        <v>10755125</v>
      </c>
      <c r="P18" s="2460"/>
      <c r="Q18" s="2028"/>
    </row>
    <row r="19" spans="2:19" ht="12.95" customHeight="1" x14ac:dyDescent="0.2">
      <c r="B19" s="2454" t="s">
        <v>229</v>
      </c>
      <c r="C19" s="2286"/>
      <c r="D19" s="2286"/>
      <c r="E19" s="2286"/>
      <c r="F19" s="2286"/>
      <c r="G19" s="2286"/>
      <c r="H19" s="2286"/>
      <c r="I19" s="2286"/>
      <c r="J19" s="2286"/>
      <c r="K19" s="2455"/>
      <c r="L19" s="2457" t="s">
        <v>682</v>
      </c>
      <c r="M19" s="2457"/>
      <c r="N19" s="2458"/>
      <c r="O19" s="2461" t="s">
        <v>742</v>
      </c>
      <c r="P19" s="2460"/>
      <c r="Q19" s="2028"/>
    </row>
    <row r="20" spans="2:19" ht="12.95" customHeight="1" x14ac:dyDescent="0.2">
      <c r="B20" s="2454" t="s">
        <v>230</v>
      </c>
      <c r="C20" s="2286"/>
      <c r="D20" s="2286"/>
      <c r="E20" s="2286"/>
      <c r="F20" s="2286"/>
      <c r="G20" s="2286"/>
      <c r="H20" s="2286"/>
      <c r="I20" s="2286"/>
      <c r="J20" s="2286"/>
      <c r="K20" s="2455"/>
      <c r="L20" s="2457" t="s">
        <v>700</v>
      </c>
      <c r="M20" s="2457"/>
      <c r="N20" s="2458"/>
      <c r="O20" s="2474">
        <v>1</v>
      </c>
      <c r="P20" s="2229"/>
      <c r="Q20" s="2028"/>
    </row>
    <row r="21" spans="2:19" ht="6.95" customHeight="1" x14ac:dyDescent="0.2">
      <c r="B21" s="2445"/>
      <c r="C21" s="2446"/>
      <c r="D21" s="2446"/>
      <c r="E21" s="2446"/>
      <c r="F21" s="2446"/>
      <c r="G21" s="2446"/>
      <c r="H21" s="2446"/>
      <c r="I21" s="2446"/>
      <c r="J21" s="2446"/>
      <c r="K21" s="2446"/>
      <c r="L21" s="2446"/>
      <c r="M21" s="2446"/>
      <c r="N21" s="2446"/>
      <c r="O21" s="2446"/>
      <c r="P21" s="2447"/>
      <c r="Q21" s="2046"/>
    </row>
    <row r="22" spans="2:19" ht="12.95" customHeight="1" x14ac:dyDescent="0.2">
      <c r="B22" s="2215" t="s">
        <v>537</v>
      </c>
      <c r="C22" s="2216"/>
      <c r="D22" s="2216"/>
      <c r="E22" s="2216"/>
      <c r="F22" s="2216"/>
      <c r="G22" s="2216"/>
      <c r="H22" s="2216"/>
      <c r="I22" s="2216"/>
      <c r="J22" s="2216"/>
      <c r="K22" s="2216"/>
      <c r="L22" s="2216"/>
      <c r="M22" s="2216"/>
      <c r="N22" s="2216"/>
      <c r="O22" s="2216"/>
      <c r="P22" s="2486"/>
      <c r="Q22" s="2022"/>
    </row>
    <row r="23" spans="2:19" ht="12.95" customHeight="1" x14ac:dyDescent="0.2">
      <c r="B23" s="2487" t="s">
        <v>231</v>
      </c>
      <c r="C23" s="2488"/>
      <c r="D23" s="2488"/>
      <c r="E23" s="2488"/>
      <c r="F23" s="2488"/>
      <c r="G23" s="2488"/>
      <c r="H23" s="2488"/>
      <c r="I23" s="2488"/>
      <c r="J23" s="2488"/>
      <c r="K23" s="2488"/>
      <c r="L23" s="2488"/>
      <c r="M23" s="2488"/>
      <c r="N23" s="2488"/>
      <c r="O23" s="2488"/>
      <c r="P23" s="2489"/>
      <c r="Q23" s="520"/>
    </row>
    <row r="24" spans="2:19" ht="12.95" customHeight="1" x14ac:dyDescent="0.2">
      <c r="B24" s="2490" t="s">
        <v>38</v>
      </c>
      <c r="C24" s="2491"/>
      <c r="D24" s="2491"/>
      <c r="E24" s="2491"/>
      <c r="F24" s="2491"/>
      <c r="G24" s="2491"/>
      <c r="H24" s="2491"/>
      <c r="I24" s="2491"/>
      <c r="J24" s="2491"/>
      <c r="K24" s="2491"/>
      <c r="L24" s="2491"/>
      <c r="M24" s="2491"/>
      <c r="N24" s="2491"/>
      <c r="O24" s="2491"/>
      <c r="P24" s="2492"/>
      <c r="Q24" s="520"/>
    </row>
    <row r="25" spans="2:19" ht="12.95" customHeight="1" x14ac:dyDescent="0.2">
      <c r="B25" s="2493"/>
      <c r="C25" s="2264"/>
      <c r="D25" s="2264"/>
      <c r="E25" s="2264"/>
      <c r="F25" s="2264"/>
      <c r="G25" s="2264"/>
      <c r="H25" s="2264"/>
      <c r="I25" s="2264"/>
      <c r="J25" s="2264"/>
      <c r="K25" s="2494"/>
      <c r="L25" s="2495" t="s">
        <v>191</v>
      </c>
      <c r="M25" s="2498" t="s">
        <v>198</v>
      </c>
      <c r="N25" s="2499"/>
      <c r="O25" s="2500"/>
      <c r="P25" s="718"/>
      <c r="Q25" s="730"/>
    </row>
    <row r="26" spans="2:19" ht="12.95" customHeight="1" x14ac:dyDescent="0.2">
      <c r="B26" s="2448" t="s">
        <v>189</v>
      </c>
      <c r="C26" s="2449"/>
      <c r="D26" s="2449"/>
      <c r="E26" s="2449"/>
      <c r="F26" s="2449"/>
      <c r="G26" s="2449"/>
      <c r="H26" s="2449"/>
      <c r="I26" s="2449"/>
      <c r="J26" s="2449"/>
      <c r="K26" s="2450"/>
      <c r="L26" s="2496"/>
      <c r="M26" s="2399" t="s">
        <v>200</v>
      </c>
      <c r="N26" s="2399" t="s">
        <v>26</v>
      </c>
      <c r="O26" s="2311" t="s">
        <v>217</v>
      </c>
      <c r="P26" s="78" t="s">
        <v>192</v>
      </c>
      <c r="Q26" s="2027"/>
    </row>
    <row r="27" spans="2:19" ht="12.95" customHeight="1" x14ac:dyDescent="0.2">
      <c r="B27" s="2448" t="s">
        <v>197</v>
      </c>
      <c r="C27" s="2449"/>
      <c r="D27" s="2449"/>
      <c r="E27" s="2449"/>
      <c r="F27" s="2449"/>
      <c r="G27" s="2449"/>
      <c r="H27" s="2449"/>
      <c r="I27" s="2449"/>
      <c r="J27" s="2449"/>
      <c r="K27" s="2450"/>
      <c r="L27" s="2496"/>
      <c r="M27" s="2496"/>
      <c r="N27" s="2496"/>
      <c r="O27" s="2405"/>
      <c r="P27" s="78" t="s">
        <v>193</v>
      </c>
      <c r="Q27" s="2027"/>
    </row>
    <row r="28" spans="2:19" ht="12.95" customHeight="1" thickBot="1" x14ac:dyDescent="0.25">
      <c r="B28" s="2483">
        <v>1</v>
      </c>
      <c r="C28" s="2484"/>
      <c r="D28" s="2484"/>
      <c r="E28" s="2484"/>
      <c r="F28" s="2484"/>
      <c r="G28" s="2484"/>
      <c r="H28" s="2484"/>
      <c r="I28" s="2484"/>
      <c r="J28" s="2484"/>
      <c r="K28" s="2485"/>
      <c r="L28" s="690">
        <v>2</v>
      </c>
      <c r="M28" s="690">
        <v>3</v>
      </c>
      <c r="N28" s="690">
        <v>4</v>
      </c>
      <c r="O28" s="12">
        <v>5</v>
      </c>
      <c r="P28" s="79" t="s">
        <v>24</v>
      </c>
      <c r="Q28" s="2027"/>
    </row>
    <row r="29" spans="2:19" ht="12.95" customHeight="1" thickTop="1" x14ac:dyDescent="0.2">
      <c r="B29" s="80">
        <v>1</v>
      </c>
      <c r="C29" s="33" t="s">
        <v>440</v>
      </c>
      <c r="D29" s="33" t="s">
        <v>142</v>
      </c>
      <c r="E29" s="687"/>
      <c r="F29" s="335"/>
      <c r="G29" s="688">
        <v>5</v>
      </c>
      <c r="H29" s="688">
        <v>2</v>
      </c>
      <c r="I29" s="688"/>
      <c r="J29" s="688"/>
      <c r="K29" s="688"/>
      <c r="L29" s="28" t="s">
        <v>108</v>
      </c>
      <c r="M29" s="16"/>
      <c r="N29" s="16"/>
      <c r="O29" s="18"/>
      <c r="P29" s="88">
        <f>P31</f>
        <v>10755125</v>
      </c>
      <c r="Q29" s="2048">
        <v>21510250</v>
      </c>
      <c r="R29" s="720">
        <f>L12</f>
        <v>21510000</v>
      </c>
      <c r="S29" s="721"/>
    </row>
    <row r="30" spans="2:19" ht="12.95" customHeight="1" x14ac:dyDescent="0.2">
      <c r="B30" s="80">
        <v>1</v>
      </c>
      <c r="C30" s="33" t="s">
        <v>440</v>
      </c>
      <c r="D30" s="33" t="s">
        <v>142</v>
      </c>
      <c r="E30" s="689" t="s">
        <v>142</v>
      </c>
      <c r="F30" s="46"/>
      <c r="G30" s="688"/>
      <c r="H30" s="688"/>
      <c r="I30" s="688"/>
      <c r="J30" s="688"/>
      <c r="K30" s="688"/>
      <c r="L30" s="25" t="s">
        <v>179</v>
      </c>
      <c r="M30" s="16"/>
      <c r="N30" s="16"/>
      <c r="O30" s="18"/>
      <c r="P30" s="89">
        <f>P31</f>
        <v>10755125</v>
      </c>
      <c r="Q30" s="2049"/>
      <c r="R30" s="721">
        <f>P31-R29</f>
        <v>-10754875</v>
      </c>
    </row>
    <row r="31" spans="2:19" ht="12.95" customHeight="1" x14ac:dyDescent="0.2">
      <c r="B31" s="80">
        <v>1</v>
      </c>
      <c r="C31" s="33" t="s">
        <v>440</v>
      </c>
      <c r="D31" s="33" t="s">
        <v>142</v>
      </c>
      <c r="E31" s="689" t="s">
        <v>142</v>
      </c>
      <c r="F31" s="47" t="s">
        <v>170</v>
      </c>
      <c r="G31" s="688"/>
      <c r="H31" s="688"/>
      <c r="I31" s="688"/>
      <c r="J31" s="688"/>
      <c r="K31" s="33"/>
      <c r="L31" s="25" t="s">
        <v>171</v>
      </c>
      <c r="M31" s="16"/>
      <c r="N31" s="16"/>
      <c r="O31" s="18"/>
      <c r="P31" s="89">
        <f>P33</f>
        <v>10755125</v>
      </c>
      <c r="Q31" s="2049"/>
    </row>
    <row r="32" spans="2:19" ht="12.95" customHeight="1" x14ac:dyDescent="0.2">
      <c r="B32" s="80"/>
      <c r="C32" s="33"/>
      <c r="D32" s="33"/>
      <c r="E32" s="689"/>
      <c r="F32" s="47"/>
      <c r="G32" s="688"/>
      <c r="H32" s="688"/>
      <c r="I32" s="688"/>
      <c r="J32" s="688"/>
      <c r="K32" s="33"/>
      <c r="L32" s="25"/>
      <c r="M32" s="16"/>
      <c r="N32" s="16"/>
      <c r="O32" s="18"/>
      <c r="P32" s="89"/>
      <c r="Q32" s="2049"/>
    </row>
    <row r="33" spans="2:19" ht="12.95" customHeight="1" x14ac:dyDescent="0.2">
      <c r="B33" s="80">
        <v>1</v>
      </c>
      <c r="C33" s="33" t="s">
        <v>440</v>
      </c>
      <c r="D33" s="33" t="s">
        <v>142</v>
      </c>
      <c r="E33" s="689" t="s">
        <v>142</v>
      </c>
      <c r="F33" s="47" t="s">
        <v>170</v>
      </c>
      <c r="G33" s="688">
        <v>5</v>
      </c>
      <c r="H33" s="688">
        <v>2</v>
      </c>
      <c r="I33" s="688">
        <v>2</v>
      </c>
      <c r="J33" s="688"/>
      <c r="K33" s="688"/>
      <c r="L33" s="56" t="s">
        <v>120</v>
      </c>
      <c r="M33" s="338"/>
      <c r="N33" s="185"/>
      <c r="O33" s="262"/>
      <c r="P33" s="769">
        <f>P34-P75</f>
        <v>10755125</v>
      </c>
      <c r="Q33" s="1474"/>
    </row>
    <row r="34" spans="2:19" ht="12.95" customHeight="1" x14ac:dyDescent="0.2">
      <c r="B34" s="80">
        <v>1</v>
      </c>
      <c r="C34" s="33" t="s">
        <v>440</v>
      </c>
      <c r="D34" s="33" t="s">
        <v>142</v>
      </c>
      <c r="E34" s="689" t="s">
        <v>142</v>
      </c>
      <c r="F34" s="47" t="s">
        <v>170</v>
      </c>
      <c r="G34" s="688">
        <v>5</v>
      </c>
      <c r="H34" s="688">
        <v>2</v>
      </c>
      <c r="I34" s="688">
        <v>2</v>
      </c>
      <c r="J34" s="33" t="s">
        <v>142</v>
      </c>
      <c r="K34" s="688"/>
      <c r="L34" s="26" t="s">
        <v>180</v>
      </c>
      <c r="M34" s="338"/>
      <c r="N34" s="185"/>
      <c r="O34" s="262"/>
      <c r="P34" s="769">
        <f>P35</f>
        <v>10755125</v>
      </c>
      <c r="Q34" s="1474"/>
    </row>
    <row r="35" spans="2:19" ht="12.95" customHeight="1" x14ac:dyDescent="0.2">
      <c r="B35" s="80">
        <v>1</v>
      </c>
      <c r="C35" s="33" t="s">
        <v>440</v>
      </c>
      <c r="D35" s="33" t="s">
        <v>142</v>
      </c>
      <c r="E35" s="689" t="s">
        <v>142</v>
      </c>
      <c r="F35" s="47" t="s">
        <v>170</v>
      </c>
      <c r="G35" s="688">
        <v>5</v>
      </c>
      <c r="H35" s="688">
        <v>2</v>
      </c>
      <c r="I35" s="688">
        <v>2</v>
      </c>
      <c r="J35" s="33" t="s">
        <v>142</v>
      </c>
      <c r="K35" s="33" t="s">
        <v>142</v>
      </c>
      <c r="L35" s="23" t="s">
        <v>127</v>
      </c>
      <c r="M35" s="338"/>
      <c r="N35" s="185"/>
      <c r="O35" s="262"/>
      <c r="P35" s="769">
        <f>SUM(P36:P73)+1195</f>
        <v>10755125</v>
      </c>
      <c r="Q35" s="1474"/>
    </row>
    <row r="36" spans="2:19" ht="12.95" customHeight="1" x14ac:dyDescent="0.2">
      <c r="B36" s="80"/>
      <c r="C36" s="33"/>
      <c r="D36" s="33"/>
      <c r="E36" s="689"/>
      <c r="F36" s="47"/>
      <c r="G36" s="688"/>
      <c r="H36" s="688"/>
      <c r="I36" s="688"/>
      <c r="J36" s="33"/>
      <c r="K36" s="766"/>
      <c r="L36" s="1527" t="s">
        <v>835</v>
      </c>
      <c r="M36" s="1528">
        <v>60</v>
      </c>
      <c r="N36" s="1528" t="s">
        <v>578</v>
      </c>
      <c r="O36" s="1531">
        <v>45000</v>
      </c>
      <c r="P36" s="769">
        <f t="shared" ref="P36:P73" si="0">M36*O36</f>
        <v>2700000</v>
      </c>
      <c r="Q36" s="1474"/>
    </row>
    <row r="37" spans="2:19" ht="12.95" customHeight="1" x14ac:dyDescent="0.2">
      <c r="B37" s="80"/>
      <c r="C37" s="33"/>
      <c r="D37" s="33"/>
      <c r="E37" s="689"/>
      <c r="F37" s="47"/>
      <c r="G37" s="688"/>
      <c r="H37" s="688"/>
      <c r="I37" s="688"/>
      <c r="J37" s="33"/>
      <c r="K37" s="766"/>
      <c r="L37" s="1529" t="s">
        <v>836</v>
      </c>
      <c r="M37" s="1530">
        <v>51</v>
      </c>
      <c r="N37" s="1530" t="s">
        <v>578</v>
      </c>
      <c r="O37" s="1532">
        <v>43000</v>
      </c>
      <c r="P37" s="769">
        <f t="shared" si="0"/>
        <v>2193000</v>
      </c>
      <c r="Q37" s="1474"/>
    </row>
    <row r="38" spans="2:19" ht="12.95" customHeight="1" x14ac:dyDescent="0.2">
      <c r="B38" s="80"/>
      <c r="C38" s="688"/>
      <c r="D38" s="688"/>
      <c r="E38" s="687"/>
      <c r="F38" s="46"/>
      <c r="G38" s="688"/>
      <c r="H38" s="688"/>
      <c r="I38" s="688"/>
      <c r="J38" s="688"/>
      <c r="K38" s="45"/>
      <c r="L38" s="1529" t="s">
        <v>837</v>
      </c>
      <c r="M38" s="1530">
        <v>5</v>
      </c>
      <c r="N38" s="1530" t="s">
        <v>772</v>
      </c>
      <c r="O38" s="1533">
        <v>5000</v>
      </c>
      <c r="P38" s="769">
        <f t="shared" si="0"/>
        <v>25000</v>
      </c>
      <c r="Q38" s="1474"/>
    </row>
    <row r="39" spans="2:19" ht="12.95" customHeight="1" x14ac:dyDescent="0.2">
      <c r="B39" s="80"/>
      <c r="C39" s="688"/>
      <c r="D39" s="688"/>
      <c r="E39" s="687"/>
      <c r="F39" s="46"/>
      <c r="G39" s="688"/>
      <c r="H39" s="688"/>
      <c r="I39" s="688"/>
      <c r="J39" s="688"/>
      <c r="K39" s="45"/>
      <c r="L39" s="1529" t="s">
        <v>838</v>
      </c>
      <c r="M39" s="1530">
        <v>3</v>
      </c>
      <c r="N39" s="1530" t="s">
        <v>582</v>
      </c>
      <c r="O39" s="1532">
        <v>90000</v>
      </c>
      <c r="P39" s="769">
        <f t="shared" si="0"/>
        <v>270000</v>
      </c>
      <c r="Q39" s="1474"/>
    </row>
    <row r="40" spans="2:19" ht="12.95" customHeight="1" x14ac:dyDescent="0.2">
      <c r="B40" s="80"/>
      <c r="C40" s="688"/>
      <c r="D40" s="688"/>
      <c r="E40" s="687"/>
      <c r="F40" s="46"/>
      <c r="G40" s="688"/>
      <c r="H40" s="688"/>
      <c r="I40" s="688"/>
      <c r="J40" s="688"/>
      <c r="K40" s="45"/>
      <c r="L40" s="1529" t="s">
        <v>839</v>
      </c>
      <c r="M40" s="1530">
        <v>5</v>
      </c>
      <c r="N40" s="1530" t="s">
        <v>604</v>
      </c>
      <c r="O40" s="1532">
        <v>25000</v>
      </c>
      <c r="P40" s="769">
        <f t="shared" si="0"/>
        <v>125000</v>
      </c>
      <c r="Q40" s="1474"/>
    </row>
    <row r="41" spans="2:19" ht="12.95" customHeight="1" x14ac:dyDescent="0.2">
      <c r="B41" s="80"/>
      <c r="C41" s="688"/>
      <c r="D41" s="688"/>
      <c r="E41" s="687"/>
      <c r="F41" s="46"/>
      <c r="G41" s="688"/>
      <c r="H41" s="688"/>
      <c r="I41" s="688"/>
      <c r="J41" s="688"/>
      <c r="K41" s="45"/>
      <c r="L41" s="1529" t="s">
        <v>840</v>
      </c>
      <c r="M41" s="1530">
        <v>3</v>
      </c>
      <c r="N41" s="1530" t="s">
        <v>841</v>
      </c>
      <c r="O41" s="1533">
        <v>114000</v>
      </c>
      <c r="P41" s="769">
        <f t="shared" si="0"/>
        <v>342000</v>
      </c>
      <c r="Q41" s="1474"/>
    </row>
    <row r="42" spans="2:19" ht="12.95" customHeight="1" x14ac:dyDescent="0.2">
      <c r="B42" s="80"/>
      <c r="C42" s="688"/>
      <c r="D42" s="688"/>
      <c r="E42" s="687"/>
      <c r="F42" s="46"/>
      <c r="G42" s="688"/>
      <c r="H42" s="688"/>
      <c r="I42" s="688"/>
      <c r="J42" s="688"/>
      <c r="K42" s="45"/>
      <c r="L42" s="1529" t="s">
        <v>842</v>
      </c>
      <c r="M42" s="1530">
        <v>10</v>
      </c>
      <c r="N42" s="1530" t="s">
        <v>582</v>
      </c>
      <c r="O42" s="1533">
        <v>5000</v>
      </c>
      <c r="P42" s="769">
        <f t="shared" si="0"/>
        <v>50000</v>
      </c>
      <c r="Q42" s="1474"/>
    </row>
    <row r="43" spans="2:19" ht="12.95" customHeight="1" x14ac:dyDescent="0.2">
      <c r="B43" s="80"/>
      <c r="C43" s="688"/>
      <c r="D43" s="688"/>
      <c r="E43" s="687"/>
      <c r="F43" s="46"/>
      <c r="G43" s="688"/>
      <c r="H43" s="688"/>
      <c r="I43" s="688"/>
      <c r="J43" s="688"/>
      <c r="K43" s="45"/>
      <c r="L43" s="1529" t="s">
        <v>843</v>
      </c>
      <c r="M43" s="1530">
        <v>10</v>
      </c>
      <c r="N43" s="1530" t="s">
        <v>582</v>
      </c>
      <c r="O43" s="1533">
        <v>6500</v>
      </c>
      <c r="P43" s="769">
        <f t="shared" si="0"/>
        <v>65000</v>
      </c>
      <c r="Q43" s="1474"/>
    </row>
    <row r="44" spans="2:19" ht="12.95" customHeight="1" x14ac:dyDescent="0.2">
      <c r="B44" s="80"/>
      <c r="C44" s="688"/>
      <c r="D44" s="688"/>
      <c r="E44" s="687"/>
      <c r="F44" s="46"/>
      <c r="G44" s="688"/>
      <c r="H44" s="688"/>
      <c r="I44" s="688"/>
      <c r="J44" s="688"/>
      <c r="K44" s="45"/>
      <c r="L44" s="1529" t="s">
        <v>844</v>
      </c>
      <c r="M44" s="1530">
        <v>5</v>
      </c>
      <c r="N44" s="1530" t="s">
        <v>582</v>
      </c>
      <c r="O44" s="1532">
        <v>10000</v>
      </c>
      <c r="P44" s="769">
        <f t="shared" si="0"/>
        <v>50000</v>
      </c>
      <c r="Q44" s="1474"/>
    </row>
    <row r="45" spans="2:19" ht="12.95" customHeight="1" x14ac:dyDescent="0.2">
      <c r="B45" s="80"/>
      <c r="C45" s="688"/>
      <c r="D45" s="688"/>
      <c r="E45" s="687"/>
      <c r="F45" s="46"/>
      <c r="G45" s="688"/>
      <c r="H45" s="688"/>
      <c r="I45" s="688"/>
      <c r="J45" s="688"/>
      <c r="K45" s="45"/>
      <c r="L45" s="1529" t="s">
        <v>845</v>
      </c>
      <c r="M45" s="1530">
        <v>2</v>
      </c>
      <c r="N45" s="1530" t="s">
        <v>495</v>
      </c>
      <c r="O45" s="1532">
        <v>11000</v>
      </c>
      <c r="P45" s="769">
        <f t="shared" si="0"/>
        <v>22000</v>
      </c>
      <c r="Q45" s="1474"/>
    </row>
    <row r="46" spans="2:19" ht="12.95" customHeight="1" x14ac:dyDescent="0.2">
      <c r="B46" s="80"/>
      <c r="C46" s="688"/>
      <c r="D46" s="688"/>
      <c r="E46" s="687"/>
      <c r="F46" s="46"/>
      <c r="G46" s="688"/>
      <c r="H46" s="688"/>
      <c r="I46" s="688"/>
      <c r="J46" s="688"/>
      <c r="K46" s="45"/>
      <c r="L46" s="1529" t="s">
        <v>846</v>
      </c>
      <c r="M46" s="1530">
        <v>1</v>
      </c>
      <c r="N46" s="1530" t="s">
        <v>582</v>
      </c>
      <c r="O46" s="1533">
        <v>100000</v>
      </c>
      <c r="P46" s="769">
        <f t="shared" si="0"/>
        <v>100000</v>
      </c>
      <c r="Q46" s="1474"/>
    </row>
    <row r="47" spans="2:19" ht="12.95" customHeight="1" x14ac:dyDescent="0.2">
      <c r="B47" s="93"/>
      <c r="C47" s="53"/>
      <c r="D47" s="53"/>
      <c r="E47" s="129"/>
      <c r="F47" s="55"/>
      <c r="G47" s="53"/>
      <c r="H47" s="53"/>
      <c r="I47" s="53"/>
      <c r="J47" s="53"/>
      <c r="K47" s="767"/>
      <c r="L47" s="1529" t="s">
        <v>847</v>
      </c>
      <c r="M47" s="1530">
        <v>8</v>
      </c>
      <c r="N47" s="1530" t="s">
        <v>495</v>
      </c>
      <c r="O47" s="1533">
        <v>6000</v>
      </c>
      <c r="P47" s="770">
        <f t="shared" si="0"/>
        <v>48000</v>
      </c>
      <c r="Q47" s="1454"/>
    </row>
    <row r="48" spans="2:19" ht="12.95" customHeight="1" x14ac:dyDescent="0.2">
      <c r="B48" s="93"/>
      <c r="C48" s="53"/>
      <c r="D48" s="53"/>
      <c r="E48" s="129"/>
      <c r="F48" s="55"/>
      <c r="G48" s="53"/>
      <c r="H48" s="53"/>
      <c r="I48" s="53"/>
      <c r="J48" s="53"/>
      <c r="K48" s="767"/>
      <c r="L48" s="1529" t="s">
        <v>848</v>
      </c>
      <c r="M48" s="1530">
        <v>23</v>
      </c>
      <c r="N48" s="1530" t="s">
        <v>495</v>
      </c>
      <c r="O48" s="1532">
        <v>20000</v>
      </c>
      <c r="P48" s="770">
        <f t="shared" si="0"/>
        <v>460000</v>
      </c>
      <c r="Q48" s="1454"/>
      <c r="S48" s="725"/>
    </row>
    <row r="49" spans="2:17" ht="12.95" customHeight="1" x14ac:dyDescent="0.2">
      <c r="B49" s="93"/>
      <c r="C49" s="53"/>
      <c r="D49" s="53"/>
      <c r="E49" s="129"/>
      <c r="F49" s="55"/>
      <c r="G49" s="53"/>
      <c r="H49" s="53"/>
      <c r="I49" s="53"/>
      <c r="J49" s="53"/>
      <c r="K49" s="767"/>
      <c r="L49" s="1529" t="s">
        <v>849</v>
      </c>
      <c r="M49" s="1530">
        <v>20</v>
      </c>
      <c r="N49" s="1530" t="s">
        <v>495</v>
      </c>
      <c r="O49" s="1532">
        <v>15000</v>
      </c>
      <c r="P49" s="770">
        <f t="shared" si="0"/>
        <v>300000</v>
      </c>
      <c r="Q49" s="1454"/>
    </row>
    <row r="50" spans="2:17" ht="12.95" customHeight="1" x14ac:dyDescent="0.2">
      <c r="B50" s="93"/>
      <c r="C50" s="53"/>
      <c r="D50" s="53"/>
      <c r="E50" s="129"/>
      <c r="F50" s="55"/>
      <c r="G50" s="53"/>
      <c r="H50" s="53"/>
      <c r="I50" s="53"/>
      <c r="J50" s="53"/>
      <c r="K50" s="767"/>
      <c r="L50" s="1529" t="s">
        <v>850</v>
      </c>
      <c r="M50" s="1530">
        <v>5</v>
      </c>
      <c r="N50" s="1530" t="s">
        <v>772</v>
      </c>
      <c r="O50" s="1532">
        <v>88000</v>
      </c>
      <c r="P50" s="770">
        <f t="shared" si="0"/>
        <v>440000</v>
      </c>
      <c r="Q50" s="1454"/>
    </row>
    <row r="51" spans="2:17" ht="12.95" customHeight="1" x14ac:dyDescent="0.2">
      <c r="B51" s="93"/>
      <c r="C51" s="53"/>
      <c r="D51" s="53"/>
      <c r="E51" s="129"/>
      <c r="F51" s="55"/>
      <c r="G51" s="53"/>
      <c r="H51" s="53"/>
      <c r="I51" s="53"/>
      <c r="J51" s="53"/>
      <c r="K51" s="767"/>
      <c r="L51" s="1529" t="s">
        <v>851</v>
      </c>
      <c r="M51" s="1530">
        <v>2</v>
      </c>
      <c r="N51" s="1530" t="s">
        <v>852</v>
      </c>
      <c r="O51" s="1532">
        <v>27000</v>
      </c>
      <c r="P51" s="770">
        <f t="shared" si="0"/>
        <v>54000</v>
      </c>
      <c r="Q51" s="1454"/>
    </row>
    <row r="52" spans="2:17" ht="12.95" customHeight="1" x14ac:dyDescent="0.2">
      <c r="B52" s="93"/>
      <c r="C52" s="53"/>
      <c r="D52" s="53"/>
      <c r="E52" s="129"/>
      <c r="F52" s="55"/>
      <c r="G52" s="53"/>
      <c r="H52" s="53"/>
      <c r="I52" s="53"/>
      <c r="J52" s="53"/>
      <c r="K52" s="767"/>
      <c r="L52" s="1529" t="s">
        <v>853</v>
      </c>
      <c r="M52" s="1530">
        <v>1</v>
      </c>
      <c r="N52" s="1530" t="s">
        <v>495</v>
      </c>
      <c r="O52" s="1532">
        <v>13800</v>
      </c>
      <c r="P52" s="770">
        <f t="shared" si="0"/>
        <v>13800</v>
      </c>
      <c r="Q52" s="1454"/>
    </row>
    <row r="53" spans="2:17" ht="12.95" customHeight="1" x14ac:dyDescent="0.2">
      <c r="B53" s="93"/>
      <c r="C53" s="53"/>
      <c r="D53" s="53"/>
      <c r="E53" s="129"/>
      <c r="F53" s="55"/>
      <c r="G53" s="53"/>
      <c r="H53" s="53"/>
      <c r="I53" s="53"/>
      <c r="J53" s="53"/>
      <c r="K53" s="767"/>
      <c r="L53" s="1529" t="s">
        <v>854</v>
      </c>
      <c r="M53" s="1530">
        <v>1</v>
      </c>
      <c r="N53" s="1530" t="s">
        <v>495</v>
      </c>
      <c r="O53" s="1532">
        <v>17200</v>
      </c>
      <c r="P53" s="770">
        <f t="shared" si="0"/>
        <v>17200</v>
      </c>
      <c r="Q53" s="1454"/>
    </row>
    <row r="54" spans="2:17" ht="12.95" customHeight="1" x14ac:dyDescent="0.2">
      <c r="B54" s="93"/>
      <c r="C54" s="53"/>
      <c r="D54" s="53"/>
      <c r="E54" s="129"/>
      <c r="F54" s="55"/>
      <c r="G54" s="53"/>
      <c r="H54" s="53"/>
      <c r="I54" s="53"/>
      <c r="J54" s="53"/>
      <c r="K54" s="767"/>
      <c r="L54" s="1529" t="s">
        <v>855</v>
      </c>
      <c r="M54" s="1530">
        <v>22</v>
      </c>
      <c r="N54" s="1530" t="s">
        <v>582</v>
      </c>
      <c r="O54" s="1533">
        <v>1600</v>
      </c>
      <c r="P54" s="770">
        <f t="shared" si="0"/>
        <v>35200</v>
      </c>
      <c r="Q54" s="1454"/>
    </row>
    <row r="55" spans="2:17" ht="12.95" customHeight="1" x14ac:dyDescent="0.2">
      <c r="B55" s="93"/>
      <c r="C55" s="53"/>
      <c r="D55" s="53"/>
      <c r="E55" s="129"/>
      <c r="F55" s="55"/>
      <c r="G55" s="53"/>
      <c r="H55" s="53"/>
      <c r="I55" s="53"/>
      <c r="J55" s="53"/>
      <c r="K55" s="767"/>
      <c r="L55" s="1529" t="s">
        <v>856</v>
      </c>
      <c r="M55" s="1530">
        <v>15</v>
      </c>
      <c r="N55" s="1530" t="s">
        <v>495</v>
      </c>
      <c r="O55" s="1533">
        <v>7850</v>
      </c>
      <c r="P55" s="770">
        <f t="shared" si="0"/>
        <v>117750</v>
      </c>
      <c r="Q55" s="1454"/>
    </row>
    <row r="56" spans="2:17" ht="12.95" customHeight="1" x14ac:dyDescent="0.2">
      <c r="B56" s="93"/>
      <c r="C56" s="53"/>
      <c r="D56" s="53"/>
      <c r="E56" s="129"/>
      <c r="F56" s="55"/>
      <c r="G56" s="53"/>
      <c r="H56" s="53"/>
      <c r="I56" s="53"/>
      <c r="J56" s="53"/>
      <c r="K56" s="767"/>
      <c r="L56" s="1529" t="s">
        <v>857</v>
      </c>
      <c r="M56" s="1530">
        <v>8</v>
      </c>
      <c r="N56" s="1530" t="s">
        <v>741</v>
      </c>
      <c r="O56" s="1532">
        <v>15000</v>
      </c>
      <c r="P56" s="770">
        <f t="shared" si="0"/>
        <v>120000</v>
      </c>
      <c r="Q56" s="1454"/>
    </row>
    <row r="57" spans="2:17" ht="12.95" customHeight="1" x14ac:dyDescent="0.2">
      <c r="B57" s="93"/>
      <c r="C57" s="53"/>
      <c r="D57" s="53"/>
      <c r="E57" s="129"/>
      <c r="F57" s="55"/>
      <c r="G57" s="53"/>
      <c r="H57" s="53"/>
      <c r="I57" s="53"/>
      <c r="J57" s="53"/>
      <c r="K57" s="767"/>
      <c r="L57" s="1529" t="s">
        <v>858</v>
      </c>
      <c r="M57" s="1530">
        <v>6</v>
      </c>
      <c r="N57" s="1530" t="s">
        <v>495</v>
      </c>
      <c r="O57" s="1533">
        <v>6190</v>
      </c>
      <c r="P57" s="770">
        <f t="shared" si="0"/>
        <v>37140</v>
      </c>
      <c r="Q57" s="1454"/>
    </row>
    <row r="58" spans="2:17" ht="12.95" customHeight="1" x14ac:dyDescent="0.2">
      <c r="B58" s="93"/>
      <c r="C58" s="53"/>
      <c r="D58" s="53"/>
      <c r="E58" s="129"/>
      <c r="F58" s="55"/>
      <c r="G58" s="53"/>
      <c r="H58" s="53"/>
      <c r="I58" s="53"/>
      <c r="J58" s="53"/>
      <c r="K58" s="767"/>
      <c r="L58" s="1529" t="s">
        <v>859</v>
      </c>
      <c r="M58" s="1530">
        <v>6</v>
      </c>
      <c r="N58" s="1530" t="s">
        <v>860</v>
      </c>
      <c r="O58" s="1533">
        <v>3000</v>
      </c>
      <c r="P58" s="770">
        <f t="shared" si="0"/>
        <v>18000</v>
      </c>
      <c r="Q58" s="1454"/>
    </row>
    <row r="59" spans="2:17" ht="12.95" customHeight="1" x14ac:dyDescent="0.2">
      <c r="B59" s="93"/>
      <c r="C59" s="53"/>
      <c r="D59" s="53"/>
      <c r="E59" s="129"/>
      <c r="F59" s="55"/>
      <c r="G59" s="53"/>
      <c r="H59" s="53"/>
      <c r="I59" s="53"/>
      <c r="J59" s="53"/>
      <c r="K59" s="767"/>
      <c r="L59" s="1534" t="s">
        <v>849</v>
      </c>
      <c r="M59" s="1535">
        <v>12</v>
      </c>
      <c r="N59" s="1535" t="s">
        <v>495</v>
      </c>
      <c r="O59" s="1532">
        <v>15000</v>
      </c>
      <c r="P59" s="770">
        <f t="shared" si="0"/>
        <v>180000</v>
      </c>
      <c r="Q59" s="1454"/>
    </row>
    <row r="60" spans="2:17" ht="12.95" customHeight="1" x14ac:dyDescent="0.2">
      <c r="B60" s="93"/>
      <c r="C60" s="53"/>
      <c r="D60" s="53"/>
      <c r="E60" s="129"/>
      <c r="F60" s="55"/>
      <c r="G60" s="53"/>
      <c r="H60" s="53"/>
      <c r="I60" s="53"/>
      <c r="J60" s="53"/>
      <c r="K60" s="767"/>
      <c r="L60" s="1529" t="s">
        <v>861</v>
      </c>
      <c r="M60" s="1530">
        <v>2</v>
      </c>
      <c r="N60" s="1530" t="s">
        <v>495</v>
      </c>
      <c r="O60" s="1533">
        <v>12590</v>
      </c>
      <c r="P60" s="770">
        <f t="shared" si="0"/>
        <v>25180</v>
      </c>
      <c r="Q60" s="1454"/>
    </row>
    <row r="61" spans="2:17" ht="12.95" customHeight="1" x14ac:dyDescent="0.2">
      <c r="B61" s="93"/>
      <c r="C61" s="53"/>
      <c r="D61" s="53"/>
      <c r="E61" s="129"/>
      <c r="F61" s="55"/>
      <c r="G61" s="53"/>
      <c r="H61" s="53"/>
      <c r="I61" s="53"/>
      <c r="J61" s="53"/>
      <c r="K61" s="767"/>
      <c r="L61" s="1529" t="s">
        <v>862</v>
      </c>
      <c r="M61" s="1530">
        <v>3</v>
      </c>
      <c r="N61" s="1530" t="s">
        <v>863</v>
      </c>
      <c r="O61" s="1533">
        <v>14510</v>
      </c>
      <c r="P61" s="770">
        <f t="shared" si="0"/>
        <v>43530</v>
      </c>
      <c r="Q61" s="1454"/>
    </row>
    <row r="62" spans="2:17" ht="12.95" customHeight="1" x14ac:dyDescent="0.2">
      <c r="B62" s="93"/>
      <c r="C62" s="53"/>
      <c r="D62" s="53"/>
      <c r="E62" s="129"/>
      <c r="F62" s="55"/>
      <c r="G62" s="53"/>
      <c r="H62" s="53"/>
      <c r="I62" s="53"/>
      <c r="J62" s="53"/>
      <c r="K62" s="767"/>
      <c r="L62" s="1529" t="s">
        <v>864</v>
      </c>
      <c r="M62" s="1530">
        <v>2</v>
      </c>
      <c r="N62" s="1530" t="s">
        <v>495</v>
      </c>
      <c r="O62" s="1533">
        <v>11200</v>
      </c>
      <c r="P62" s="770">
        <f t="shared" si="0"/>
        <v>22400</v>
      </c>
      <c r="Q62" s="1454"/>
    </row>
    <row r="63" spans="2:17" ht="12.95" customHeight="1" x14ac:dyDescent="0.2">
      <c r="B63" s="93"/>
      <c r="C63" s="53"/>
      <c r="D63" s="53"/>
      <c r="E63" s="129"/>
      <c r="F63" s="55"/>
      <c r="G63" s="53"/>
      <c r="H63" s="53"/>
      <c r="I63" s="53"/>
      <c r="J63" s="53"/>
      <c r="K63" s="767"/>
      <c r="L63" s="1529" t="s">
        <v>865</v>
      </c>
      <c r="M63" s="1530">
        <v>6</v>
      </c>
      <c r="N63" s="1530" t="s">
        <v>852</v>
      </c>
      <c r="O63" s="1533">
        <v>10000</v>
      </c>
      <c r="P63" s="770">
        <f t="shared" si="0"/>
        <v>60000</v>
      </c>
      <c r="Q63" s="1454"/>
    </row>
    <row r="64" spans="2:17" ht="12.95" customHeight="1" x14ac:dyDescent="0.2">
      <c r="B64" s="93"/>
      <c r="C64" s="53"/>
      <c r="D64" s="53"/>
      <c r="E64" s="129"/>
      <c r="F64" s="55"/>
      <c r="G64" s="53"/>
      <c r="H64" s="53"/>
      <c r="I64" s="53"/>
      <c r="J64" s="53"/>
      <c r="K64" s="767"/>
      <c r="L64" s="1529" t="s">
        <v>866</v>
      </c>
      <c r="M64" s="1530">
        <v>1</v>
      </c>
      <c r="N64" s="1530" t="s">
        <v>495</v>
      </c>
      <c r="O64" s="1533">
        <v>120000</v>
      </c>
      <c r="P64" s="770">
        <f t="shared" si="0"/>
        <v>120000</v>
      </c>
      <c r="Q64" s="1454"/>
    </row>
    <row r="65" spans="2:20" ht="12.95" customHeight="1" x14ac:dyDescent="0.2">
      <c r="B65" s="93"/>
      <c r="C65" s="53"/>
      <c r="D65" s="53"/>
      <c r="E65" s="129"/>
      <c r="F65" s="55"/>
      <c r="G65" s="53"/>
      <c r="H65" s="53"/>
      <c r="I65" s="53"/>
      <c r="J65" s="53"/>
      <c r="K65" s="767"/>
      <c r="L65" s="1529" t="s">
        <v>867</v>
      </c>
      <c r="M65" s="1530">
        <v>1</v>
      </c>
      <c r="N65" s="1530" t="s">
        <v>495</v>
      </c>
      <c r="O65" s="1533">
        <v>45000</v>
      </c>
      <c r="P65" s="770">
        <f t="shared" si="0"/>
        <v>45000</v>
      </c>
      <c r="Q65" s="1454"/>
    </row>
    <row r="66" spans="2:20" ht="12.95" customHeight="1" x14ac:dyDescent="0.2">
      <c r="B66" s="93"/>
      <c r="C66" s="53"/>
      <c r="D66" s="53"/>
      <c r="E66" s="129"/>
      <c r="F66" s="55"/>
      <c r="G66" s="53"/>
      <c r="H66" s="53"/>
      <c r="I66" s="53"/>
      <c r="J66" s="53"/>
      <c r="K66" s="767"/>
      <c r="L66" s="1529" t="s">
        <v>868</v>
      </c>
      <c r="M66" s="1530">
        <v>10</v>
      </c>
      <c r="N66" s="1530" t="s">
        <v>495</v>
      </c>
      <c r="O66" s="1533">
        <v>4000</v>
      </c>
      <c r="P66" s="770">
        <f t="shared" si="0"/>
        <v>40000</v>
      </c>
      <c r="Q66" s="1454"/>
    </row>
    <row r="67" spans="2:20" ht="12.95" customHeight="1" x14ac:dyDescent="0.2">
      <c r="B67" s="93"/>
      <c r="C67" s="53"/>
      <c r="D67" s="53"/>
      <c r="E67" s="129"/>
      <c r="F67" s="55"/>
      <c r="G67" s="53"/>
      <c r="H67" s="53"/>
      <c r="I67" s="53"/>
      <c r="J67" s="53"/>
      <c r="K67" s="767"/>
      <c r="L67" s="1529" t="s">
        <v>869</v>
      </c>
      <c r="M67" s="1530">
        <v>6</v>
      </c>
      <c r="N67" s="1530" t="s">
        <v>772</v>
      </c>
      <c r="O67" s="1533">
        <v>50000</v>
      </c>
      <c r="P67" s="770">
        <f t="shared" si="0"/>
        <v>300000</v>
      </c>
      <c r="Q67" s="1454"/>
    </row>
    <row r="68" spans="2:20" ht="12.95" customHeight="1" x14ac:dyDescent="0.2">
      <c r="B68" s="93"/>
      <c r="C68" s="53"/>
      <c r="D68" s="53"/>
      <c r="E68" s="129"/>
      <c r="F68" s="55"/>
      <c r="G68" s="53"/>
      <c r="H68" s="53"/>
      <c r="I68" s="53"/>
      <c r="J68" s="53"/>
      <c r="K68" s="767"/>
      <c r="L68" s="1529" t="s">
        <v>870</v>
      </c>
      <c r="M68" s="1530">
        <v>6</v>
      </c>
      <c r="N68" s="1530" t="s">
        <v>772</v>
      </c>
      <c r="O68" s="1533">
        <v>120000</v>
      </c>
      <c r="P68" s="770">
        <f t="shared" si="0"/>
        <v>720000</v>
      </c>
      <c r="Q68" s="1454"/>
    </row>
    <row r="69" spans="2:20" ht="25.5" customHeight="1" x14ac:dyDescent="0.2">
      <c r="B69" s="93"/>
      <c r="C69" s="53"/>
      <c r="D69" s="53"/>
      <c r="E69" s="129"/>
      <c r="F69" s="55"/>
      <c r="G69" s="53"/>
      <c r="H69" s="53"/>
      <c r="I69" s="53"/>
      <c r="J69" s="53"/>
      <c r="K69" s="767"/>
      <c r="L69" s="1529" t="s">
        <v>876</v>
      </c>
      <c r="M69" s="1536">
        <v>1</v>
      </c>
      <c r="N69" s="1536" t="s">
        <v>871</v>
      </c>
      <c r="O69" s="1533">
        <v>152190</v>
      </c>
      <c r="P69" s="1542">
        <f t="shared" si="0"/>
        <v>152190</v>
      </c>
      <c r="Q69" s="2060"/>
    </row>
    <row r="70" spans="2:20" ht="12.95" customHeight="1" x14ac:dyDescent="0.2">
      <c r="B70" s="93"/>
      <c r="C70" s="53"/>
      <c r="D70" s="53"/>
      <c r="E70" s="129"/>
      <c r="F70" s="55"/>
      <c r="G70" s="53"/>
      <c r="H70" s="53"/>
      <c r="I70" s="53"/>
      <c r="J70" s="53"/>
      <c r="K70" s="767"/>
      <c r="L70" s="1529" t="s">
        <v>875</v>
      </c>
      <c r="M70" s="1536">
        <v>1</v>
      </c>
      <c r="N70" s="1536" t="s">
        <v>772</v>
      </c>
      <c r="O70" s="1543">
        <v>200000</v>
      </c>
      <c r="P70" s="770">
        <f t="shared" si="0"/>
        <v>200000</v>
      </c>
      <c r="Q70" s="1454"/>
    </row>
    <row r="71" spans="2:20" ht="25.5" customHeight="1" x14ac:dyDescent="0.2">
      <c r="B71" s="93"/>
      <c r="C71" s="53"/>
      <c r="D71" s="53"/>
      <c r="E71" s="129"/>
      <c r="F71" s="55"/>
      <c r="G71" s="53"/>
      <c r="H71" s="53"/>
      <c r="I71" s="53"/>
      <c r="J71" s="53"/>
      <c r="K71" s="767"/>
      <c r="L71" s="1544" t="s">
        <v>874</v>
      </c>
      <c r="M71" s="1545">
        <v>1</v>
      </c>
      <c r="N71" s="1546" t="s">
        <v>871</v>
      </c>
      <c r="O71" s="1533">
        <v>750000</v>
      </c>
      <c r="P71" s="1542">
        <f t="shared" si="0"/>
        <v>750000</v>
      </c>
      <c r="Q71" s="2060"/>
    </row>
    <row r="72" spans="2:20" ht="12.95" customHeight="1" x14ac:dyDescent="0.2">
      <c r="B72" s="93"/>
      <c r="C72" s="53"/>
      <c r="D72" s="53"/>
      <c r="E72" s="129"/>
      <c r="F72" s="55"/>
      <c r="G72" s="53"/>
      <c r="H72" s="53"/>
      <c r="I72" s="53"/>
      <c r="J72" s="53"/>
      <c r="K72" s="767"/>
      <c r="L72" s="1529" t="s">
        <v>872</v>
      </c>
      <c r="M72" s="1530">
        <v>2</v>
      </c>
      <c r="N72" s="1539" t="s">
        <v>495</v>
      </c>
      <c r="O72" s="1533">
        <v>18000</v>
      </c>
      <c r="P72" s="1547">
        <f t="shared" si="0"/>
        <v>36000</v>
      </c>
      <c r="Q72" s="2061"/>
    </row>
    <row r="73" spans="2:20" ht="12.95" customHeight="1" x14ac:dyDescent="0.2">
      <c r="B73" s="153"/>
      <c r="C73" s="154"/>
      <c r="D73" s="154"/>
      <c r="E73" s="172"/>
      <c r="F73" s="154"/>
      <c r="G73" s="154"/>
      <c r="H73" s="154"/>
      <c r="I73" s="154"/>
      <c r="J73" s="154"/>
      <c r="K73" s="172"/>
      <c r="L73" s="1534" t="s">
        <v>873</v>
      </c>
      <c r="M73" s="1537">
        <v>2</v>
      </c>
      <c r="N73" s="1537" t="s">
        <v>582</v>
      </c>
      <c r="O73" s="1548">
        <v>228270</v>
      </c>
      <c r="P73" s="1189">
        <f t="shared" si="0"/>
        <v>456540</v>
      </c>
      <c r="Q73" s="1188"/>
    </row>
    <row r="74" spans="2:20" ht="12.95" customHeight="1" x14ac:dyDescent="0.2">
      <c r="B74" s="153"/>
      <c r="C74" s="154"/>
      <c r="D74" s="154"/>
      <c r="E74" s="172"/>
      <c r="F74" s="154"/>
      <c r="G74" s="154"/>
      <c r="H74" s="154"/>
      <c r="I74" s="154"/>
      <c r="J74" s="154"/>
      <c r="K74" s="172"/>
      <c r="L74" s="2063"/>
      <c r="M74" s="2064"/>
      <c r="N74" s="2064"/>
      <c r="O74" s="1548"/>
      <c r="P74" s="1189"/>
      <c r="Q74" s="1188"/>
    </row>
    <row r="75" spans="2:20" ht="12.95" customHeight="1" x14ac:dyDescent="0.2">
      <c r="B75" s="1552"/>
      <c r="C75" s="768"/>
      <c r="D75" s="768"/>
      <c r="E75" s="768"/>
      <c r="F75" s="768"/>
      <c r="G75" s="768"/>
      <c r="H75" s="768"/>
      <c r="I75" s="768"/>
      <c r="J75" s="768"/>
      <c r="K75" s="768"/>
      <c r="L75" s="1553"/>
      <c r="M75" s="1554"/>
      <c r="N75" s="1554"/>
      <c r="O75" s="1555"/>
      <c r="P75" s="1250"/>
      <c r="Q75" s="1188"/>
    </row>
    <row r="76" spans="2:20" ht="12.95" customHeight="1" x14ac:dyDescent="0.2">
      <c r="B76" s="1549"/>
      <c r="C76" s="1550"/>
      <c r="D76" s="1538"/>
      <c r="E76" s="1538"/>
      <c r="F76" s="1538"/>
      <c r="G76" s="1538"/>
      <c r="H76" s="1538"/>
      <c r="I76" s="1538"/>
      <c r="J76" s="1538"/>
      <c r="K76" s="1538"/>
      <c r="L76" s="1538"/>
      <c r="M76" s="2491" t="s">
        <v>146</v>
      </c>
      <c r="N76" s="2491"/>
      <c r="O76" s="2572"/>
      <c r="P76" s="1551">
        <f>P29</f>
        <v>10755125</v>
      </c>
      <c r="Q76" s="2062"/>
    </row>
    <row r="77" spans="2:20" ht="12.95" customHeight="1" x14ac:dyDescent="0.2">
      <c r="B77" s="809"/>
      <c r="C77" s="810"/>
      <c r="D77" s="810"/>
      <c r="E77" s="810"/>
      <c r="F77" s="810"/>
      <c r="G77" s="810"/>
      <c r="H77" s="810"/>
      <c r="I77" s="810"/>
      <c r="J77" s="810"/>
      <c r="K77" s="810"/>
      <c r="L77" s="810"/>
      <c r="M77" s="810"/>
      <c r="N77" s="810"/>
      <c r="O77" s="810"/>
      <c r="P77" s="811"/>
      <c r="Q77" s="2062"/>
    </row>
    <row r="78" spans="2:20" ht="12.95" customHeight="1" x14ac:dyDescent="0.2">
      <c r="B78" s="812"/>
      <c r="C78" s="813"/>
      <c r="D78" s="813"/>
      <c r="E78" s="813"/>
      <c r="F78" s="813"/>
      <c r="G78" s="813"/>
      <c r="H78" s="813"/>
      <c r="I78" s="813"/>
      <c r="J78" s="813"/>
      <c r="K78" s="813"/>
      <c r="L78" s="813"/>
      <c r="M78" s="2506" t="str">
        <f>'RECAP APBD'!E43</f>
        <v>Banda Aceh,                   2020</v>
      </c>
      <c r="N78" s="2506"/>
      <c r="O78" s="2506"/>
      <c r="P78" s="2507"/>
      <c r="Q78" s="2028"/>
      <c r="R78" s="131"/>
      <c r="S78" s="201"/>
      <c r="T78" s="131"/>
    </row>
    <row r="79" spans="2:20" ht="12.95" customHeight="1" x14ac:dyDescent="0.2">
      <c r="B79" s="170"/>
      <c r="C79" s="131"/>
      <c r="D79" s="131"/>
      <c r="E79" s="131"/>
      <c r="F79" s="131"/>
      <c r="G79" s="131"/>
      <c r="H79" s="131"/>
      <c r="I79" s="131"/>
      <c r="J79" s="131"/>
      <c r="K79" s="131"/>
      <c r="L79" s="131"/>
      <c r="M79" s="2381" t="str">
        <f>'RECAP APBD'!E44</f>
        <v>Pengguna Anggaran</v>
      </c>
      <c r="N79" s="2381"/>
      <c r="O79" s="2381"/>
      <c r="P79" s="2382"/>
      <c r="Q79" s="2023"/>
      <c r="R79" s="131"/>
      <c r="S79" s="772"/>
      <c r="T79" s="131"/>
    </row>
    <row r="80" spans="2:20" ht="12.95" customHeight="1" x14ac:dyDescent="0.2">
      <c r="B80" s="170"/>
      <c r="C80" s="131"/>
      <c r="D80" s="131"/>
      <c r="E80" s="131"/>
      <c r="F80" s="131"/>
      <c r="G80" s="131"/>
      <c r="H80" s="131"/>
      <c r="I80" s="131"/>
      <c r="J80" s="131"/>
      <c r="K80" s="131"/>
      <c r="L80" s="131"/>
      <c r="M80" s="2381" t="str">
        <f>'RECAP APBD'!E45</f>
        <v>Satuan Kerja Perangkat Daerah</v>
      </c>
      <c r="N80" s="2381"/>
      <c r="O80" s="2381"/>
      <c r="P80" s="2382"/>
      <c r="Q80" s="2023"/>
      <c r="R80" s="144"/>
      <c r="S80" s="144"/>
      <c r="T80" s="144"/>
    </row>
    <row r="81" spans="2:20" ht="12.95" customHeight="1" x14ac:dyDescent="0.2">
      <c r="B81" s="170"/>
      <c r="C81" s="131"/>
      <c r="D81" s="131"/>
      <c r="E81" s="131"/>
      <c r="F81" s="131"/>
      <c r="G81" s="131"/>
      <c r="H81" s="131"/>
      <c r="I81" s="131"/>
      <c r="J81" s="131"/>
      <c r="K81" s="131"/>
      <c r="L81" s="131"/>
      <c r="M81" s="2381"/>
      <c r="N81" s="2381"/>
      <c r="O81" s="2381"/>
      <c r="P81" s="2382"/>
      <c r="Q81" s="2023"/>
      <c r="R81" s="730"/>
      <c r="S81" s="773"/>
      <c r="T81" s="730"/>
    </row>
    <row r="82" spans="2:20" ht="12.95" customHeight="1" x14ac:dyDescent="0.2">
      <c r="B82" s="170"/>
      <c r="C82" s="131"/>
      <c r="D82" s="131"/>
      <c r="E82" s="131"/>
      <c r="F82" s="131"/>
      <c r="G82" s="131"/>
      <c r="H82" s="131"/>
      <c r="I82" s="131"/>
      <c r="J82" s="131"/>
      <c r="K82" s="131"/>
      <c r="L82" s="131"/>
      <c r="M82" s="2510"/>
      <c r="N82" s="2510"/>
      <c r="O82" s="2510"/>
      <c r="P82" s="2511"/>
      <c r="Q82" s="2029"/>
      <c r="R82" s="730"/>
      <c r="S82" s="730"/>
      <c r="T82" s="730"/>
    </row>
    <row r="83" spans="2:20" ht="12.95" customHeight="1" x14ac:dyDescent="0.2">
      <c r="B83" s="170"/>
      <c r="C83" s="131"/>
      <c r="D83" s="131"/>
      <c r="E83" s="131"/>
      <c r="F83" s="131"/>
      <c r="G83" s="131"/>
      <c r="H83" s="131"/>
      <c r="I83" s="131"/>
      <c r="J83" s="131"/>
      <c r="K83" s="131"/>
      <c r="L83" s="730"/>
      <c r="M83" s="2199" t="str">
        <f>'RECAP APBD'!E48</f>
        <v>Bustami, SH</v>
      </c>
      <c r="N83" s="2199"/>
      <c r="O83" s="2199"/>
      <c r="P83" s="2200"/>
      <c r="Q83" s="2021"/>
      <c r="R83" s="730"/>
      <c r="S83" s="730"/>
      <c r="T83" s="730"/>
    </row>
    <row r="84" spans="2:20" ht="12.95" customHeight="1" x14ac:dyDescent="0.2">
      <c r="B84" s="731"/>
      <c r="C84" s="732"/>
      <c r="D84" s="732"/>
      <c r="E84" s="732"/>
      <c r="F84" s="732"/>
      <c r="G84" s="732"/>
      <c r="H84" s="732"/>
      <c r="I84" s="732"/>
      <c r="J84" s="732"/>
      <c r="K84" s="732"/>
      <c r="L84" s="732"/>
      <c r="M84" s="2573" t="str">
        <f>'RECAP APBD'!E49</f>
        <v>Pembina Utama Muda / Nip. 19630824 198703 1 004</v>
      </c>
      <c r="N84" s="2573"/>
      <c r="O84" s="2573"/>
      <c r="P84" s="2574"/>
      <c r="Q84" s="2033"/>
      <c r="R84" s="148"/>
      <c r="S84" s="148"/>
      <c r="T84" s="148"/>
    </row>
    <row r="85" spans="2:20" ht="12.95" customHeight="1" x14ac:dyDescent="0.2">
      <c r="B85" s="2501" t="s">
        <v>140</v>
      </c>
      <c r="C85" s="2502"/>
      <c r="D85" s="2502"/>
      <c r="E85" s="2502"/>
      <c r="F85" s="2502"/>
      <c r="G85" s="2502"/>
      <c r="H85" s="2502"/>
      <c r="I85" s="2502"/>
      <c r="J85" s="2502"/>
      <c r="K85" s="2502"/>
      <c r="L85" s="2502"/>
      <c r="M85" s="2513"/>
      <c r="N85" s="2513"/>
      <c r="O85" s="2513"/>
      <c r="P85" s="2514"/>
      <c r="Q85" s="571"/>
      <c r="R85" s="144"/>
      <c r="S85" s="144"/>
      <c r="T85" s="144"/>
    </row>
    <row r="86" spans="2:20" ht="12.95" customHeight="1" x14ac:dyDescent="0.2">
      <c r="B86" s="2501" t="s">
        <v>22</v>
      </c>
      <c r="C86" s="2502"/>
      <c r="D86" s="2502"/>
      <c r="E86" s="2502"/>
      <c r="F86" s="2502"/>
      <c r="G86" s="2502"/>
      <c r="H86" s="2502"/>
      <c r="I86" s="2502"/>
      <c r="J86" s="2502"/>
      <c r="K86" s="2502"/>
      <c r="L86" s="2502"/>
      <c r="M86" s="251"/>
      <c r="N86" s="2508"/>
      <c r="O86" s="2508"/>
      <c r="P86" s="2509"/>
      <c r="Q86" s="1490"/>
    </row>
    <row r="87" spans="2:20" ht="12.95" customHeight="1" x14ac:dyDescent="0.2">
      <c r="B87" s="2501" t="s">
        <v>21</v>
      </c>
      <c r="C87" s="2502"/>
      <c r="D87" s="2502"/>
      <c r="E87" s="2502"/>
      <c r="F87" s="2502"/>
      <c r="G87" s="2502"/>
      <c r="H87" s="2502"/>
      <c r="I87" s="2502"/>
      <c r="J87" s="2502"/>
      <c r="K87" s="2502"/>
      <c r="L87" s="2502"/>
      <c r="M87" s="251"/>
      <c r="N87" s="2503"/>
      <c r="O87" s="2503"/>
      <c r="P87" s="2504"/>
      <c r="Q87" s="2034"/>
    </row>
    <row r="88" spans="2:20" ht="12.95" customHeight="1" x14ac:dyDescent="0.2">
      <c r="B88" s="2501" t="s">
        <v>204</v>
      </c>
      <c r="C88" s="2502"/>
      <c r="D88" s="2502"/>
      <c r="E88" s="2502"/>
      <c r="F88" s="2502"/>
      <c r="G88" s="2502"/>
      <c r="H88" s="2502"/>
      <c r="I88" s="2502"/>
      <c r="J88" s="2502"/>
      <c r="K88" s="2502"/>
      <c r="L88" s="2502"/>
      <c r="M88" s="2502"/>
      <c r="N88" s="2502"/>
      <c r="O88" s="2502"/>
      <c r="P88" s="2505"/>
      <c r="Q88" s="572"/>
    </row>
    <row r="89" spans="2:20" ht="12.95" customHeight="1" x14ac:dyDescent="0.2">
      <c r="B89" s="2501" t="s">
        <v>205</v>
      </c>
      <c r="C89" s="2502"/>
      <c r="D89" s="2502"/>
      <c r="E89" s="2502"/>
      <c r="F89" s="2502"/>
      <c r="G89" s="2502"/>
      <c r="H89" s="2502"/>
      <c r="I89" s="2502"/>
      <c r="J89" s="2502"/>
      <c r="K89" s="2502"/>
      <c r="L89" s="2502"/>
      <c r="M89" s="2502"/>
      <c r="N89" s="2502"/>
      <c r="O89" s="2502"/>
      <c r="P89" s="2505"/>
      <c r="Q89" s="572"/>
    </row>
    <row r="90" spans="2:20" ht="12.95" customHeight="1" thickBot="1" x14ac:dyDescent="0.25">
      <c r="B90" s="2517" t="s">
        <v>206</v>
      </c>
      <c r="C90" s="2518"/>
      <c r="D90" s="2518"/>
      <c r="E90" s="2518"/>
      <c r="F90" s="2518"/>
      <c r="G90" s="2518"/>
      <c r="H90" s="2518"/>
      <c r="I90" s="2518"/>
      <c r="J90" s="2518"/>
      <c r="K90" s="2518"/>
      <c r="L90" s="2518"/>
      <c r="M90" s="2518"/>
      <c r="N90" s="2518"/>
      <c r="O90" s="2518"/>
      <c r="P90" s="2519"/>
      <c r="Q90" s="572"/>
    </row>
    <row r="91" spans="2:20" ht="12.95" customHeight="1" thickTop="1" x14ac:dyDescent="0.2">
      <c r="B91" s="2523" t="s">
        <v>25</v>
      </c>
      <c r="C91" s="2524"/>
      <c r="D91" s="2524"/>
      <c r="E91" s="2524"/>
      <c r="F91" s="2524"/>
      <c r="G91" s="2524"/>
      <c r="H91" s="2524"/>
      <c r="I91" s="2524"/>
      <c r="J91" s="2524"/>
      <c r="K91" s="2524"/>
      <c r="L91" s="2524"/>
      <c r="M91" s="2524"/>
      <c r="N91" s="2524"/>
      <c r="O91" s="2524"/>
      <c r="P91" s="2525"/>
      <c r="Q91" s="2023"/>
    </row>
    <row r="92" spans="2:20" ht="12.95" customHeight="1" thickBot="1" x14ac:dyDescent="0.25">
      <c r="B92" s="2526" t="s">
        <v>207</v>
      </c>
      <c r="C92" s="2527"/>
      <c r="D92" s="2528" t="s">
        <v>208</v>
      </c>
      <c r="E92" s="2529"/>
      <c r="F92" s="2529"/>
      <c r="G92" s="2529"/>
      <c r="H92" s="2529"/>
      <c r="I92" s="2529"/>
      <c r="J92" s="2529"/>
      <c r="K92" s="2529"/>
      <c r="L92" s="2530"/>
      <c r="M92" s="2531" t="s">
        <v>209</v>
      </c>
      <c r="N92" s="2530"/>
      <c r="O92" s="4" t="s">
        <v>210</v>
      </c>
      <c r="P92" s="92" t="s">
        <v>211</v>
      </c>
      <c r="Q92" s="2027"/>
    </row>
    <row r="93" spans="2:20" ht="12.95" customHeight="1" thickTop="1" x14ac:dyDescent="0.2">
      <c r="B93" s="2535">
        <v>1</v>
      </c>
      <c r="C93" s="2536"/>
      <c r="D93" s="2532"/>
      <c r="E93" s="2533"/>
      <c r="F93" s="2533"/>
      <c r="G93" s="2533"/>
      <c r="H93" s="2533"/>
      <c r="I93" s="2533"/>
      <c r="J93" s="2533"/>
      <c r="K93" s="2533"/>
      <c r="L93" s="2534"/>
      <c r="M93" s="2538"/>
      <c r="N93" s="2539"/>
      <c r="O93" s="1073"/>
      <c r="P93" s="1177" t="s">
        <v>10</v>
      </c>
      <c r="Q93" s="1257"/>
    </row>
    <row r="94" spans="2:20" ht="12.95" customHeight="1" x14ac:dyDescent="0.2">
      <c r="B94" s="2522">
        <v>2</v>
      </c>
      <c r="C94" s="2240"/>
      <c r="D94" s="1116"/>
      <c r="E94" s="1117"/>
      <c r="F94" s="1117"/>
      <c r="G94" s="1117"/>
      <c r="H94" s="1117"/>
      <c r="I94" s="1117"/>
      <c r="J94" s="1117"/>
      <c r="K94" s="1117"/>
      <c r="L94" s="1118"/>
      <c r="M94" s="2442"/>
      <c r="N94" s="2247"/>
      <c r="O94" s="1085"/>
      <c r="P94" s="1177" t="s">
        <v>11</v>
      </c>
      <c r="Q94" s="1257"/>
    </row>
    <row r="95" spans="2:20" ht="12.95" customHeight="1" x14ac:dyDescent="0.2">
      <c r="B95" s="2522">
        <v>3</v>
      </c>
      <c r="C95" s="2240"/>
      <c r="D95" s="1116"/>
      <c r="E95" s="1117"/>
      <c r="F95" s="1117"/>
      <c r="G95" s="1117"/>
      <c r="H95" s="1117"/>
      <c r="I95" s="1117"/>
      <c r="J95" s="1117"/>
      <c r="K95" s="1117"/>
      <c r="L95" s="1118"/>
      <c r="M95" s="2442"/>
      <c r="N95" s="2247"/>
      <c r="O95" s="1085"/>
      <c r="P95" s="1177" t="s">
        <v>12</v>
      </c>
      <c r="Q95" s="1257"/>
    </row>
    <row r="96" spans="2:20" ht="12.95" customHeight="1" x14ac:dyDescent="0.2">
      <c r="B96" s="2522">
        <v>4</v>
      </c>
      <c r="C96" s="2240"/>
      <c r="D96" s="1116"/>
      <c r="E96" s="1117"/>
      <c r="F96" s="1117"/>
      <c r="G96" s="1117"/>
      <c r="H96" s="1117"/>
      <c r="I96" s="1117"/>
      <c r="J96" s="1117"/>
      <c r="K96" s="1117"/>
      <c r="L96" s="1118"/>
      <c r="M96" s="2443"/>
      <c r="N96" s="2253"/>
      <c r="O96" s="1085"/>
      <c r="P96" s="1177" t="s">
        <v>13</v>
      </c>
      <c r="Q96" s="1257"/>
    </row>
    <row r="97" spans="2:17" ht="12.95" customHeight="1" x14ac:dyDescent="0.2">
      <c r="B97" s="2522">
        <v>5</v>
      </c>
      <c r="C97" s="2240"/>
      <c r="D97" s="1116"/>
      <c r="E97" s="1117"/>
      <c r="F97" s="1117"/>
      <c r="G97" s="1117"/>
      <c r="H97" s="1117"/>
      <c r="I97" s="1117"/>
      <c r="J97" s="1117"/>
      <c r="K97" s="1117"/>
      <c r="L97" s="1118"/>
      <c r="M97" s="2443"/>
      <c r="N97" s="2253"/>
      <c r="O97" s="1085"/>
      <c r="P97" s="1177" t="s">
        <v>14</v>
      </c>
      <c r="Q97" s="1257"/>
    </row>
    <row r="98" spans="2:17" ht="12.95" customHeight="1" x14ac:dyDescent="0.2">
      <c r="B98" s="2522">
        <v>6</v>
      </c>
      <c r="C98" s="2240"/>
      <c r="D98" s="1116"/>
      <c r="E98" s="1117"/>
      <c r="F98" s="1117"/>
      <c r="G98" s="1117"/>
      <c r="H98" s="1117"/>
      <c r="I98" s="1117"/>
      <c r="J98" s="1117"/>
      <c r="K98" s="1117"/>
      <c r="L98" s="1118"/>
      <c r="M98" s="2443"/>
      <c r="N98" s="2253"/>
      <c r="O98" s="1085"/>
      <c r="P98" s="1178" t="s">
        <v>42</v>
      </c>
      <c r="Q98" s="2052"/>
    </row>
    <row r="99" spans="2:17" ht="12.95" customHeight="1" thickBot="1" x14ac:dyDescent="0.25">
      <c r="B99" s="2520">
        <v>7</v>
      </c>
      <c r="C99" s="2521"/>
      <c r="D99" s="1119"/>
      <c r="E99" s="1120"/>
      <c r="F99" s="1120"/>
      <c r="G99" s="1120"/>
      <c r="H99" s="1120"/>
      <c r="I99" s="1120"/>
      <c r="J99" s="1120"/>
      <c r="K99" s="1120"/>
      <c r="L99" s="1121"/>
      <c r="M99" s="2537"/>
      <c r="N99" s="2300"/>
      <c r="O99" s="1061"/>
      <c r="P99" s="1179" t="s">
        <v>487</v>
      </c>
      <c r="Q99" s="2053"/>
    </row>
    <row r="100" spans="2:17" ht="13.5" thickTop="1" x14ac:dyDescent="0.2"/>
  </sheetData>
  <mergeCells count="82">
    <mergeCell ref="M80:P80"/>
    <mergeCell ref="M81:P81"/>
    <mergeCell ref="M82:P82"/>
    <mergeCell ref="B97:C97"/>
    <mergeCell ref="B99:C99"/>
    <mergeCell ref="B98:C98"/>
    <mergeCell ref="M99:N99"/>
    <mergeCell ref="M85:P85"/>
    <mergeCell ref="B86:L86"/>
    <mergeCell ref="B85:L85"/>
    <mergeCell ref="B94:C94"/>
    <mergeCell ref="B96:C96"/>
    <mergeCell ref="B95:C95"/>
    <mergeCell ref="N86:P86"/>
    <mergeCell ref="M84:P84"/>
    <mergeCell ref="M83:P83"/>
    <mergeCell ref="B21:P21"/>
    <mergeCell ref="B22:P22"/>
    <mergeCell ref="B17:K17"/>
    <mergeCell ref="L17:N17"/>
    <mergeCell ref="O17:P17"/>
    <mergeCell ref="B18:K18"/>
    <mergeCell ref="L18:N18"/>
    <mergeCell ref="O18:P18"/>
    <mergeCell ref="B19:K19"/>
    <mergeCell ref="L19:N19"/>
    <mergeCell ref="M79:P79"/>
    <mergeCell ref="M78:P78"/>
    <mergeCell ref="L16:N16"/>
    <mergeCell ref="B7:K7"/>
    <mergeCell ref="M7:P7"/>
    <mergeCell ref="B8:K8"/>
    <mergeCell ref="O19:P19"/>
    <mergeCell ref="B20:K20"/>
    <mergeCell ref="L20:N20"/>
    <mergeCell ref="O20:P20"/>
    <mergeCell ref="M76:O76"/>
    <mergeCell ref="B23:P23"/>
    <mergeCell ref="B24:P24"/>
    <mergeCell ref="B25:K25"/>
    <mergeCell ref="L25:L27"/>
    <mergeCell ref="M25:O25"/>
    <mergeCell ref="B6:K6"/>
    <mergeCell ref="M6:P6"/>
    <mergeCell ref="O16:P16"/>
    <mergeCell ref="L11:P11"/>
    <mergeCell ref="B12:K12"/>
    <mergeCell ref="B13:K13"/>
    <mergeCell ref="B14:K14"/>
    <mergeCell ref="B15:P15"/>
    <mergeCell ref="B9:K9"/>
    <mergeCell ref="B11:K11"/>
    <mergeCell ref="B16:K16"/>
    <mergeCell ref="F2:O2"/>
    <mergeCell ref="P2:P3"/>
    <mergeCell ref="F3:O3"/>
    <mergeCell ref="B4:O4"/>
    <mergeCell ref="P4:P5"/>
    <mergeCell ref="B5:O5"/>
    <mergeCell ref="B26:K26"/>
    <mergeCell ref="B28:K28"/>
    <mergeCell ref="M26:M27"/>
    <mergeCell ref="N26:N27"/>
    <mergeCell ref="O26:O27"/>
    <mergeCell ref="B27:K27"/>
    <mergeCell ref="B92:C92"/>
    <mergeCell ref="B93:C93"/>
    <mergeCell ref="D92:L92"/>
    <mergeCell ref="M92:N92"/>
    <mergeCell ref="D93:L93"/>
    <mergeCell ref="M93:N93"/>
    <mergeCell ref="B90:P90"/>
    <mergeCell ref="B91:P91"/>
    <mergeCell ref="B88:P88"/>
    <mergeCell ref="B87:L87"/>
    <mergeCell ref="N87:P87"/>
    <mergeCell ref="B89:P89"/>
    <mergeCell ref="M94:N94"/>
    <mergeCell ref="M95:N95"/>
    <mergeCell ref="M96:N96"/>
    <mergeCell ref="M97:N97"/>
    <mergeCell ref="M98:N98"/>
  </mergeCells>
  <phoneticPr fontId="14" type="noConversion"/>
  <pageMargins left="1.05" right="0.27559055118110198" top="0.60433070899999997" bottom="0.196850393700787" header="0.27559055118110198" footer="0.196850393700787"/>
  <pageSetup paperSize="5" scale="69" orientation="portrait" horizontalDpi="4294967294" vertic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1</vt:i4>
      </vt:variant>
      <vt:variant>
        <vt:lpstr>Named Ranges</vt:lpstr>
      </vt:variant>
      <vt:variant>
        <vt:i4>32</vt:i4>
      </vt:variant>
    </vt:vector>
  </HeadingPairs>
  <TitlesOfParts>
    <vt:vector size="64" baseType="lpstr">
      <vt:lpstr>coper (2)</vt:lpstr>
      <vt:lpstr>coper</vt:lpstr>
      <vt:lpstr>LampA</vt:lpstr>
      <vt:lpstr>RECAP APBD</vt:lpstr>
      <vt:lpstr>rutin BTL</vt:lpstr>
      <vt:lpstr>RECAP KEGIATAN BL</vt:lpstr>
      <vt:lpstr>KOM, SDM7LISTRIK</vt:lpstr>
      <vt:lpstr>JS KBR KTR</vt:lpstr>
      <vt:lpstr>Atk</vt:lpstr>
      <vt:lpstr>CETAK &amp; PENGGANDAAN</vt:lpstr>
      <vt:lpstr>Inslsi Lstrik Ktr</vt:lpstr>
      <vt:lpstr>Mkan Mnum</vt:lpstr>
      <vt:lpstr>RAPAT LUAR DAERAH</vt:lpstr>
      <vt:lpstr>Honor NON PNS</vt:lpstr>
      <vt:lpstr>Pengadaan peraltan </vt:lpstr>
      <vt:lpstr>PEMEL KEND DINAS</vt:lpstr>
      <vt:lpstr>PEMEL PRLTN GDG KTR</vt:lpstr>
      <vt:lpstr>BAJU PDH</vt:lpstr>
      <vt:lpstr>STATISTIK SURVEY SEKTORAL</vt:lpstr>
      <vt:lpstr>STATISTIK FORUM 1 DATA</vt:lpstr>
      <vt:lpstr>SMART WARNET</vt:lpstr>
      <vt:lpstr>SMART UU40&amp;BINTEK</vt:lpstr>
      <vt:lpstr>E-GOV INFRASTUKTUR</vt:lpstr>
      <vt:lpstr>E-GOV APLIKASI</vt:lpstr>
      <vt:lpstr>PIP SWARGA</vt:lpstr>
      <vt:lpstr>SMART PELTIHAN PERS</vt:lpstr>
      <vt:lpstr>PPID DAN PROPAGANDA</vt:lpstr>
      <vt:lpstr>DESIMINASI INFORMASI</vt:lpstr>
      <vt:lpstr>LOMBA KIG</vt:lpstr>
      <vt:lpstr>Sheet1</vt:lpstr>
      <vt:lpstr>Compatibility Report</vt:lpstr>
      <vt:lpstr>Chart1</vt:lpstr>
      <vt:lpstr>Atk!Print_Area</vt:lpstr>
      <vt:lpstr>'BAJU PDH'!Print_Area</vt:lpstr>
      <vt:lpstr>'CETAK &amp; PENGGANDAAN'!Print_Area</vt:lpstr>
      <vt:lpstr>coper!Print_Area</vt:lpstr>
      <vt:lpstr>'coper (2)'!Print_Area</vt:lpstr>
      <vt:lpstr>'DESIMINASI INFORMASI'!Print_Area</vt:lpstr>
      <vt:lpstr>'E-GOV APLIKASI'!Print_Area</vt:lpstr>
      <vt:lpstr>'E-GOV INFRASTUKTUR'!Print_Area</vt:lpstr>
      <vt:lpstr>'Honor NON PNS'!Print_Area</vt:lpstr>
      <vt:lpstr>'Inslsi Lstrik Ktr'!Print_Area</vt:lpstr>
      <vt:lpstr>'JS KBR KTR'!Print_Area</vt:lpstr>
      <vt:lpstr>'KOM, SDM7LISTRIK'!Print_Area</vt:lpstr>
      <vt:lpstr>LampA!Print_Area</vt:lpstr>
      <vt:lpstr>'LOMBA KIG'!Print_Area</vt:lpstr>
      <vt:lpstr>'Mkan Mnum'!Print_Area</vt:lpstr>
      <vt:lpstr>'PEMEL KEND DINAS'!Print_Area</vt:lpstr>
      <vt:lpstr>'PEMEL PRLTN GDG KTR'!Print_Area</vt:lpstr>
      <vt:lpstr>'Pengadaan peraltan '!Print_Area</vt:lpstr>
      <vt:lpstr>'PIP SWARGA'!Print_Area</vt:lpstr>
      <vt:lpstr>'PPID DAN PROPAGANDA'!Print_Area</vt:lpstr>
      <vt:lpstr>'RAPAT LUAR DAERAH'!Print_Area</vt:lpstr>
      <vt:lpstr>'RECAP APBD'!Print_Area</vt:lpstr>
      <vt:lpstr>'RECAP KEGIATAN BL'!Print_Area</vt:lpstr>
      <vt:lpstr>'rutin BTL'!Print_Area</vt:lpstr>
      <vt:lpstr>Sheet1!Print_Area</vt:lpstr>
      <vt:lpstr>'SMART PELTIHAN PERS'!Print_Area</vt:lpstr>
      <vt:lpstr>'SMART UU40&amp;BINTEK'!Print_Area</vt:lpstr>
      <vt:lpstr>'SMART WARNET'!Print_Area</vt:lpstr>
      <vt:lpstr>'STATISTIK FORUM 1 DATA'!Print_Area</vt:lpstr>
      <vt:lpstr>'STATISTIK SURVEY SEKTORAL'!Print_Area</vt:lpstr>
      <vt:lpstr>'RECAP KEGIATAN BL'!Print_Titles</vt:lpstr>
      <vt:lpstr>'rutin BTL'!Print_Titles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DeviKeu</cp:lastModifiedBy>
  <cp:lastPrinted>2020-05-28T03:41:39Z</cp:lastPrinted>
  <dcterms:created xsi:type="dcterms:W3CDTF">2006-02-21T04:54:47Z</dcterms:created>
  <dcterms:modified xsi:type="dcterms:W3CDTF">2020-05-28T03:43:16Z</dcterms:modified>
</cp:coreProperties>
</file>