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4.xml" ContentType="application/vnd.openxmlformats-officedocument.spreadsheetml.comments+xml"/>
  <Override PartName="/xl/drawings/drawing24.xml" ContentType="application/vnd.openxmlformats-officedocument.drawing+xml"/>
  <Override PartName="/xl/comments5.xml" ContentType="application/vnd.openxmlformats-officedocument.spreadsheetml.comments+xml"/>
  <Override PartName="/xl/drawings/drawing25.xml" ContentType="application/vnd.openxmlformats-officedocument.drawing+xml"/>
  <Override PartName="/xl/comments6.xml" ContentType="application/vnd.openxmlformats-officedocument.spreadsheetml.comments+xml"/>
  <Override PartName="/xl/drawings/drawing26.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omments8.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KERJAAN KOMINFO 2020 (KANTOR)\DPPA 2020 PERUBAHAN\"/>
    </mc:Choice>
  </mc:AlternateContent>
  <bookViews>
    <workbookView xWindow="0" yWindow="0" windowWidth="19200" windowHeight="7050" tabRatio="774" firstSheet="15" activeTab="20"/>
  </bookViews>
  <sheets>
    <sheet name="Chart1" sheetId="63" r:id="rId1"/>
    <sheet name="coper" sheetId="75" r:id="rId2"/>
    <sheet name="LampA" sheetId="12" r:id="rId3"/>
    <sheet name="RECAP APBD" sheetId="1" r:id="rId4"/>
    <sheet name="Rutin BTL" sheetId="167" r:id="rId5"/>
    <sheet name="RECAP KEGIATAN BL" sheetId="7" r:id="rId6"/>
    <sheet name="KOM, SDM&amp;Listrik " sheetId="165" r:id="rId7"/>
    <sheet name="Js Kbr Ktr " sheetId="164" r:id="rId8"/>
    <sheet name="ATK " sheetId="163" r:id="rId9"/>
    <sheet name="Cetak dan Penggandaan" sheetId="162" r:id="rId10"/>
    <sheet name="Inslsi Lstrik Ktr" sheetId="161" r:id="rId11"/>
    <sheet name="Mkan Mnum" sheetId="160" r:id="rId12"/>
    <sheet name="Rapat Luar Daerah" sheetId="159" r:id="rId13"/>
    <sheet name="Honor Non PNS" sheetId="177" r:id="rId14"/>
    <sheet name="Pengadaan Peraltan" sheetId="179" r:id="rId15"/>
    <sheet name="Pemel Kend Dinas " sheetId="155" r:id="rId16"/>
    <sheet name="Pemel PRLTN GDG KTR " sheetId="153" r:id="rId17"/>
    <sheet name="Statistik Survey Sektoral" sheetId="175" state="hidden" r:id="rId18"/>
    <sheet name="Baju PDH" sheetId="178" r:id="rId19"/>
    <sheet name="Statistik Survey Sektoral2" sheetId="181" r:id="rId20"/>
    <sheet name="Statistik Forum Data" sheetId="174" r:id="rId21"/>
    <sheet name="Smart Warnet" sheetId="182" r:id="rId22"/>
    <sheet name="Smart UUD40" sheetId="170" r:id="rId23"/>
    <sheet name="E-Gov Infrastruktur" sheetId="151" r:id="rId24"/>
    <sheet name="E-Gov Aplikasi" sheetId="171" r:id="rId25"/>
    <sheet name="Smart Suwarga" sheetId="183" r:id="rId26"/>
    <sheet name="Smart Pelatihan Pers" sheetId="184" r:id="rId27"/>
    <sheet name="PPID&amp;Propaganda" sheetId="168" r:id="rId28"/>
    <sheet name="Desiminasi Info" sheetId="149" r:id="rId29"/>
    <sheet name="KIG" sheetId="150" r:id="rId30"/>
    <sheet name="Sheet1" sheetId="134" r:id="rId31"/>
    <sheet name="Compatibility Report" sheetId="79" r:id="rId32"/>
  </sheets>
  <definedNames>
    <definedName name="_xlnm.Print_Area" localSheetId="8">'ATK '!$B$2:$V$93</definedName>
    <definedName name="_xlnm.Print_Area" localSheetId="18">'Baju PDH'!$B$2:$V$57</definedName>
    <definedName name="_xlnm.Print_Area" localSheetId="9">'Cetak dan Penggandaan'!$B$2:$V$52</definedName>
    <definedName name="_xlnm.Print_Area" localSheetId="1">coper!$C$5:$O$72</definedName>
    <definedName name="_xlnm.Print_Area" localSheetId="28">'Desiminasi Info'!$B$2:$V$112</definedName>
    <definedName name="_xlnm.Print_Area" localSheetId="24">'E-Gov Aplikasi'!$B$2:$V$167</definedName>
    <definedName name="_xlnm.Print_Area" localSheetId="23">'E-Gov Infrastruktur'!$B$2:$V$149</definedName>
    <definedName name="_xlnm.Print_Area" localSheetId="13">'Honor Non PNS'!$B$2:$V$70</definedName>
    <definedName name="_xlnm.Print_Area" localSheetId="10">'Inslsi Lstrik Ktr'!$B$2:$V$43</definedName>
    <definedName name="_xlnm.Print_Area" localSheetId="7">'Js Kbr Ktr '!$B$2:$V$81</definedName>
    <definedName name="_xlnm.Print_Area" localSheetId="29">KIG!$B$2:$V$125</definedName>
    <definedName name="_xlnm.Print_Area" localSheetId="6">'KOM, SDM&amp;Listrik '!$B$2:$V$62</definedName>
    <definedName name="_xlnm.Print_Area" localSheetId="2">LampA!$B$2:$I$45</definedName>
    <definedName name="_xlnm.Print_Area" localSheetId="11">'Mkan Mnum'!$B$2:$V$56</definedName>
    <definedName name="_xlnm.Print_Area" localSheetId="15">'Pemel Kend Dinas '!$B$2:$V$76</definedName>
    <definedName name="_xlnm.Print_Area" localSheetId="16">'Pemel PRLTN GDG KTR '!$B$2:$V$56</definedName>
    <definedName name="_xlnm.Print_Area" localSheetId="14">'Pengadaan Peraltan'!$B$2:$V$58</definedName>
    <definedName name="_xlnm.Print_Area" localSheetId="27">'PPID&amp;Propaganda'!$B$2:$V$123</definedName>
    <definedName name="_xlnm.Print_Area" localSheetId="12">'Rapat Luar Daerah'!$B$2:$V$56</definedName>
    <definedName name="_xlnm.Print_Area" localSheetId="3">'RECAP APBD'!$B$2:$S$47</definedName>
    <definedName name="_xlnm.Print_Area" localSheetId="5">'RECAP KEGIATAN BL'!$B$2:$N$55</definedName>
    <definedName name="_xlnm.Print_Area" localSheetId="4">'Rutin BTL'!$B$2:$V$51</definedName>
    <definedName name="_xlnm.Print_Area" localSheetId="30">Sheet1!$C$2:$E$27</definedName>
    <definedName name="_xlnm.Print_Area" localSheetId="26">'Smart Pelatihan Pers'!$B$2:$V$81</definedName>
    <definedName name="_xlnm.Print_Area" localSheetId="25">'Smart Suwarga'!$B$2:$V$118</definedName>
    <definedName name="_xlnm.Print_Area" localSheetId="22">'Smart UUD40'!$B$2:$V$105</definedName>
    <definedName name="_xlnm.Print_Area" localSheetId="21">'Smart Warnet'!$B$2:$V$65</definedName>
    <definedName name="_xlnm.Print_Area" localSheetId="20">'Statistik Forum Data'!$B$2:$V$92</definedName>
    <definedName name="_xlnm.Print_Area" localSheetId="17">'Statistik Survey Sektoral'!$B$2:$V$97</definedName>
    <definedName name="_xlnm.Print_Area" localSheetId="19">'Statistik Survey Sektoral2'!$B$2:$V$97</definedName>
    <definedName name="_xlnm.Print_Titles" localSheetId="5">'RECAP KEGIATAN BL'!$B:$N,'RECAP KEGIATAN BL'!$9:$13</definedName>
  </definedNames>
  <calcPr calcId="162913"/>
</workbook>
</file>

<file path=xl/calcChain.xml><?xml version="1.0" encoding="utf-8"?>
<calcChain xmlns="http://schemas.openxmlformats.org/spreadsheetml/2006/main">
  <c r="Z47" i="7" l="1"/>
  <c r="V47" i="7"/>
  <c r="Y47" i="7"/>
  <c r="U47" i="7"/>
  <c r="Z44" i="7"/>
  <c r="V44" i="7"/>
  <c r="Y44" i="7"/>
  <c r="U44" i="7"/>
  <c r="AB44" i="7"/>
  <c r="AB45" i="7" s="1"/>
  <c r="AB47" i="7"/>
  <c r="AB48" i="7" s="1"/>
  <c r="X47" i="7"/>
  <c r="X48" i="7" s="1"/>
  <c r="X44" i="7"/>
  <c r="X45" i="7" s="1"/>
  <c r="J47" i="7"/>
  <c r="I47" i="7"/>
  <c r="J44" i="7"/>
  <c r="I44" i="7"/>
  <c r="Z38" i="7"/>
  <c r="V38" i="7"/>
  <c r="X38" i="7"/>
  <c r="Y38" i="7"/>
  <c r="AB38" i="7" s="1"/>
  <c r="U38" i="7"/>
  <c r="J38" i="7"/>
  <c r="I38" i="7"/>
  <c r="V52" i="7"/>
  <c r="V51" i="7"/>
  <c r="U50" i="7"/>
  <c r="V50" i="7"/>
  <c r="V41" i="7"/>
  <c r="W40" i="7"/>
  <c r="V40" i="7"/>
  <c r="V39" i="7"/>
  <c r="V35" i="7"/>
  <c r="V31" i="7"/>
  <c r="Z35" i="7"/>
  <c r="Z34" i="7"/>
  <c r="V34" i="7"/>
  <c r="Y34" i="7"/>
  <c r="U34" i="7"/>
  <c r="J34" i="7"/>
  <c r="I34" i="7"/>
  <c r="AB26" i="7"/>
  <c r="W26" i="7"/>
  <c r="X26" i="7" s="1"/>
  <c r="J26" i="7"/>
  <c r="I26" i="7"/>
  <c r="Z52" i="7"/>
  <c r="Z51" i="7"/>
  <c r="Z50" i="7"/>
  <c r="Y50" i="7"/>
  <c r="Z41" i="7"/>
  <c r="AA40" i="7"/>
  <c r="Z40" i="7"/>
  <c r="Z39" i="7"/>
  <c r="Y40" i="7"/>
  <c r="U40" i="7"/>
  <c r="X34" i="7" l="1"/>
  <c r="K38" i="7"/>
  <c r="N38" i="7" s="1"/>
  <c r="K34" i="7"/>
  <c r="K44" i="7"/>
  <c r="N44" i="7" s="1"/>
  <c r="AB34" i="7"/>
  <c r="K47" i="7"/>
  <c r="N47" i="7" s="1"/>
  <c r="K26" i="7"/>
  <c r="N26" i="7" s="1"/>
  <c r="T30" i="150" l="1"/>
  <c r="T32" i="150"/>
  <c r="T49" i="150"/>
  <c r="T75" i="150"/>
  <c r="T81" i="150"/>
  <c r="T89" i="150"/>
  <c r="T101" i="150"/>
  <c r="T110" i="150"/>
  <c r="T109" i="150" s="1"/>
  <c r="T114" i="150"/>
  <c r="T113" i="150"/>
  <c r="T112" i="150"/>
  <c r="T111" i="150"/>
  <c r="T103" i="150"/>
  <c r="Q102" i="150"/>
  <c r="T102" i="150" s="1"/>
  <c r="Q105" i="150"/>
  <c r="T105" i="150" s="1"/>
  <c r="Q87" i="150"/>
  <c r="T87" i="150" s="1"/>
  <c r="Q86" i="150"/>
  <c r="T86" i="150"/>
  <c r="T84" i="150"/>
  <c r="T79" i="150"/>
  <c r="T77" i="150"/>
  <c r="T76" i="150" s="1"/>
  <c r="T66" i="150"/>
  <c r="T65" i="150"/>
  <c r="T64" i="150"/>
  <c r="T63" i="150"/>
  <c r="T62" i="150"/>
  <c r="T61" i="150"/>
  <c r="T60" i="150"/>
  <c r="T59" i="150"/>
  <c r="T58" i="150"/>
  <c r="T57" i="150"/>
  <c r="T56" i="150"/>
  <c r="T55" i="150"/>
  <c r="T54" i="150"/>
  <c r="T53" i="150"/>
  <c r="T52" i="150"/>
  <c r="Q46" i="150"/>
  <c r="T46" i="150" s="1"/>
  <c r="T44" i="150"/>
  <c r="T43" i="150"/>
  <c r="P114" i="150"/>
  <c r="P113" i="150"/>
  <c r="P112" i="150"/>
  <c r="P111" i="150"/>
  <c r="P107" i="150"/>
  <c r="O106" i="150"/>
  <c r="P106" i="150" s="1"/>
  <c r="M105" i="150"/>
  <c r="P105" i="150" s="1"/>
  <c r="P104" i="150"/>
  <c r="P103" i="150"/>
  <c r="P102" i="150"/>
  <c r="P98" i="150"/>
  <c r="P97" i="150"/>
  <c r="P94" i="150"/>
  <c r="P93" i="150"/>
  <c r="P92" i="150"/>
  <c r="M91" i="150"/>
  <c r="P91" i="150" s="1"/>
  <c r="P85" i="150"/>
  <c r="M84" i="150"/>
  <c r="P84" i="150" s="1"/>
  <c r="M83" i="150"/>
  <c r="P83" i="150" s="1"/>
  <c r="M82" i="150"/>
  <c r="P82" i="150" s="1"/>
  <c r="P78" i="150"/>
  <c r="P77" i="150"/>
  <c r="P73" i="150"/>
  <c r="P72" i="150"/>
  <c r="P71" i="150"/>
  <c r="P70" i="150"/>
  <c r="P67" i="150"/>
  <c r="P66" i="150"/>
  <c r="P65" i="150"/>
  <c r="P64" i="150"/>
  <c r="P63" i="150"/>
  <c r="P62" i="150"/>
  <c r="P61" i="150"/>
  <c r="P60" i="150"/>
  <c r="P59" i="150"/>
  <c r="P58" i="150"/>
  <c r="O57" i="150"/>
  <c r="P57" i="150" s="1"/>
  <c r="P56" i="150"/>
  <c r="P55" i="150"/>
  <c r="P54" i="150"/>
  <c r="P53" i="150"/>
  <c r="P52" i="150"/>
  <c r="M47" i="150"/>
  <c r="P47" i="150" s="1"/>
  <c r="M46" i="150"/>
  <c r="P46" i="150" s="1"/>
  <c r="P45" i="150"/>
  <c r="P44" i="150"/>
  <c r="P43" i="150"/>
  <c r="P42" i="150"/>
  <c r="M41" i="150"/>
  <c r="P41" i="150" s="1"/>
  <c r="M40" i="150"/>
  <c r="P40" i="150" s="1"/>
  <c r="M39" i="150"/>
  <c r="P39" i="150" s="1"/>
  <c r="P35" i="150"/>
  <c r="P34" i="150" s="1"/>
  <c r="P33" i="150" s="1"/>
  <c r="T30" i="149"/>
  <c r="T53" i="149"/>
  <c r="T32" i="149"/>
  <c r="P32" i="149"/>
  <c r="P53" i="149"/>
  <c r="T71" i="149"/>
  <c r="T70" i="149" s="1"/>
  <c r="T69" i="149" s="1"/>
  <c r="U69" i="149" s="1"/>
  <c r="Q67" i="149"/>
  <c r="T67" i="149" s="1"/>
  <c r="U67" i="149" s="1"/>
  <c r="T64" i="149"/>
  <c r="T63" i="149" s="1"/>
  <c r="T60" i="149"/>
  <c r="U60" i="149" s="1"/>
  <c r="T59" i="149"/>
  <c r="S58" i="149"/>
  <c r="T58" i="149" s="1"/>
  <c r="T57" i="149"/>
  <c r="U57" i="149" s="1"/>
  <c r="T56" i="149"/>
  <c r="Q46" i="149"/>
  <c r="T46" i="149" s="1"/>
  <c r="U46" i="149" s="1"/>
  <c r="Q45" i="149"/>
  <c r="T45" i="149" s="1"/>
  <c r="U45" i="149" s="1"/>
  <c r="Q44" i="149"/>
  <c r="T44" i="149" s="1"/>
  <c r="U44" i="149" s="1"/>
  <c r="Q43" i="149"/>
  <c r="T43" i="149" s="1"/>
  <c r="U43" i="149" s="1"/>
  <c r="M51" i="149"/>
  <c r="P51" i="149" s="1"/>
  <c r="M50" i="149"/>
  <c r="P50" i="149" s="1"/>
  <c r="P49" i="149" s="1"/>
  <c r="P48" i="149" s="1"/>
  <c r="Q42" i="149"/>
  <c r="T42" i="149" s="1"/>
  <c r="U42" i="149" s="1"/>
  <c r="M76" i="149"/>
  <c r="P76" i="149" s="1"/>
  <c r="M75" i="149"/>
  <c r="P75" i="149" s="1"/>
  <c r="P71" i="149"/>
  <c r="P70" i="149"/>
  <c r="P69" i="149" s="1"/>
  <c r="M67" i="149"/>
  <c r="P67" i="149" s="1"/>
  <c r="P66" i="149" s="1"/>
  <c r="P64" i="149"/>
  <c r="P63" i="149" s="1"/>
  <c r="P60" i="149"/>
  <c r="P59" i="149"/>
  <c r="O58" i="149"/>
  <c r="P58" i="149" s="1"/>
  <c r="P57" i="149"/>
  <c r="P56" i="149"/>
  <c r="P35" i="149"/>
  <c r="P34" i="149" s="1"/>
  <c r="P33" i="149" s="1"/>
  <c r="T30" i="168"/>
  <c r="T55" i="168"/>
  <c r="T44" i="168"/>
  <c r="T100" i="168"/>
  <c r="T102" i="168"/>
  <c r="U102" i="168" s="1"/>
  <c r="T101" i="168"/>
  <c r="T99" i="168" s="1"/>
  <c r="T97" i="168"/>
  <c r="T96" i="168"/>
  <c r="T95" i="168"/>
  <c r="T93" i="168"/>
  <c r="T92" i="168"/>
  <c r="T91" i="168"/>
  <c r="T87" i="168"/>
  <c r="U87" i="168" s="1"/>
  <c r="T86" i="168"/>
  <c r="T85" i="168" s="1"/>
  <c r="U85" i="168" s="1"/>
  <c r="T77" i="168"/>
  <c r="T78" i="168"/>
  <c r="T83" i="168"/>
  <c r="U83" i="168" s="1"/>
  <c r="T82" i="168"/>
  <c r="T80" i="168"/>
  <c r="U80" i="168" s="1"/>
  <c r="T73" i="168"/>
  <c r="U73" i="168" s="1"/>
  <c r="Q73" i="168"/>
  <c r="T53" i="168"/>
  <c r="T68" i="168"/>
  <c r="Q67" i="168"/>
  <c r="T67" i="168" s="1"/>
  <c r="T66" i="168"/>
  <c r="T65" i="168"/>
  <c r="T63" i="168"/>
  <c r="T62" i="168"/>
  <c r="T60" i="168"/>
  <c r="T59" i="168"/>
  <c r="T58" i="168"/>
  <c r="U98" i="168"/>
  <c r="T79" i="168"/>
  <c r="T52" i="168"/>
  <c r="T51" i="168"/>
  <c r="T50" i="168"/>
  <c r="T49" i="168"/>
  <c r="T48" i="168"/>
  <c r="T47" i="168"/>
  <c r="T46" i="168" s="1"/>
  <c r="T42" i="168"/>
  <c r="T38" i="168" s="1"/>
  <c r="T37" i="168" s="1"/>
  <c r="T35" i="168"/>
  <c r="T34" i="168" s="1"/>
  <c r="P101" i="168"/>
  <c r="P100" i="168" s="1"/>
  <c r="P99" i="168" s="1"/>
  <c r="P97" i="168"/>
  <c r="P96" i="168" s="1"/>
  <c r="P95" i="168" s="1"/>
  <c r="M93" i="168"/>
  <c r="P93" i="168" s="1"/>
  <c r="M92" i="168"/>
  <c r="P92" i="168" s="1"/>
  <c r="M91" i="168"/>
  <c r="P91" i="168" s="1"/>
  <c r="P82" i="168"/>
  <c r="P81" i="168"/>
  <c r="P79" i="168"/>
  <c r="P78" i="168" s="1"/>
  <c r="M75" i="168"/>
  <c r="P75" i="168" s="1"/>
  <c r="M74" i="168"/>
  <c r="P74" i="168" s="1"/>
  <c r="M73" i="168"/>
  <c r="P73" i="168" s="1"/>
  <c r="M72" i="168"/>
  <c r="P72" i="168" s="1"/>
  <c r="M67" i="168"/>
  <c r="P67" i="168" s="1"/>
  <c r="P66" i="168"/>
  <c r="P65" i="168"/>
  <c r="P63" i="168"/>
  <c r="P62" i="168"/>
  <c r="P60" i="168"/>
  <c r="P59" i="168"/>
  <c r="P58" i="168"/>
  <c r="P53" i="168"/>
  <c r="P52" i="168"/>
  <c r="P51" i="168"/>
  <c r="P50" i="168"/>
  <c r="P49" i="168"/>
  <c r="P48" i="168"/>
  <c r="P47" i="168"/>
  <c r="P42" i="168"/>
  <c r="P41" i="168"/>
  <c r="U41" i="168" s="1"/>
  <c r="P40" i="168"/>
  <c r="U40" i="168" s="1"/>
  <c r="P39" i="168"/>
  <c r="U39" i="168" s="1"/>
  <c r="P35" i="168"/>
  <c r="P34" i="168" s="1"/>
  <c r="P33" i="168" s="1"/>
  <c r="M10" i="184"/>
  <c r="L81" i="184"/>
  <c r="L80" i="184"/>
  <c r="L76" i="184"/>
  <c r="L75" i="184"/>
  <c r="Q91" i="184"/>
  <c r="Q90" i="184"/>
  <c r="Q89" i="184"/>
  <c r="Q88" i="184"/>
  <c r="Q87" i="184"/>
  <c r="Q86" i="184"/>
  <c r="Q85" i="184"/>
  <c r="N91" i="184"/>
  <c r="N90" i="184"/>
  <c r="N89" i="184"/>
  <c r="N88" i="184"/>
  <c r="N87" i="184"/>
  <c r="N86" i="184"/>
  <c r="N85" i="184"/>
  <c r="T69" i="184"/>
  <c r="T68" i="184"/>
  <c r="T67" i="184" s="1"/>
  <c r="T66" i="184" s="1"/>
  <c r="T64" i="184"/>
  <c r="T63" i="184"/>
  <c r="T59" i="184" s="1"/>
  <c r="T62" i="184"/>
  <c r="T61" i="184"/>
  <c r="T60" i="184"/>
  <c r="T57" i="184"/>
  <c r="T56" i="184"/>
  <c r="T55" i="184" s="1"/>
  <c r="T54" i="184" s="1"/>
  <c r="T52" i="184"/>
  <c r="T51" i="184"/>
  <c r="T47" i="184" s="1"/>
  <c r="T46" i="184" s="1"/>
  <c r="T50" i="184"/>
  <c r="T49" i="184"/>
  <c r="T48" i="184"/>
  <c r="T43" i="184"/>
  <c r="T42" i="184"/>
  <c r="T41" i="184"/>
  <c r="T40" i="184"/>
  <c r="T39" i="184"/>
  <c r="T35" i="184"/>
  <c r="T34" i="184"/>
  <c r="T33" i="184" s="1"/>
  <c r="M69" i="184"/>
  <c r="P69" i="184" s="1"/>
  <c r="M68" i="184"/>
  <c r="P68" i="184" s="1"/>
  <c r="P67" i="184" s="1"/>
  <c r="P66" i="184" s="1"/>
  <c r="P64" i="184"/>
  <c r="P63" i="184"/>
  <c r="P62" i="184"/>
  <c r="P61" i="184"/>
  <c r="P60" i="184"/>
  <c r="P59" i="184"/>
  <c r="M57" i="184"/>
  <c r="P57" i="184" s="1"/>
  <c r="M56" i="184"/>
  <c r="P56" i="184" s="1"/>
  <c r="P55" i="184" s="1"/>
  <c r="P52" i="184"/>
  <c r="P51" i="184"/>
  <c r="P50" i="184"/>
  <c r="P49" i="184"/>
  <c r="P48" i="184"/>
  <c r="P47" i="184"/>
  <c r="P46" i="184" s="1"/>
  <c r="M43" i="184"/>
  <c r="P43" i="184" s="1"/>
  <c r="P42" i="184"/>
  <c r="P41" i="184"/>
  <c r="U41" i="184" s="1"/>
  <c r="P40" i="184"/>
  <c r="P39" i="184"/>
  <c r="P35" i="184"/>
  <c r="P34" i="184"/>
  <c r="P33" i="184" s="1"/>
  <c r="Q136" i="183"/>
  <c r="Q135" i="183"/>
  <c r="Q134" i="183"/>
  <c r="Q133" i="183"/>
  <c r="Q132" i="183"/>
  <c r="Q131" i="183"/>
  <c r="Q130" i="183"/>
  <c r="N136" i="183"/>
  <c r="N135" i="183"/>
  <c r="N134" i="183"/>
  <c r="N133" i="183"/>
  <c r="N132" i="183"/>
  <c r="N131" i="183"/>
  <c r="N130" i="183"/>
  <c r="L126" i="183"/>
  <c r="L125" i="183"/>
  <c r="L121" i="183"/>
  <c r="L120" i="183"/>
  <c r="T53" i="183"/>
  <c r="T59" i="183"/>
  <c r="T63" i="183"/>
  <c r="T93" i="183"/>
  <c r="U93" i="183" s="1"/>
  <c r="T114" i="183"/>
  <c r="U114" i="183" s="1"/>
  <c r="M10" i="183"/>
  <c r="L89" i="184"/>
  <c r="U58" i="184"/>
  <c r="U53" i="184"/>
  <c r="U49" i="184"/>
  <c r="U48" i="184"/>
  <c r="U44" i="184"/>
  <c r="U36" i="184"/>
  <c r="U35" i="184"/>
  <c r="T18" i="184"/>
  <c r="M17" i="184"/>
  <c r="L134" i="183"/>
  <c r="X120" i="183"/>
  <c r="T113" i="183"/>
  <c r="T111" i="183"/>
  <c r="U111" i="183" s="1"/>
  <c r="T110" i="183"/>
  <c r="T107" i="183"/>
  <c r="M107" i="183"/>
  <c r="P107" i="183" s="1"/>
  <c r="T106" i="183"/>
  <c r="M106" i="183"/>
  <c r="P106" i="183" s="1"/>
  <c r="T102" i="183"/>
  <c r="T101" i="183"/>
  <c r="P101" i="183"/>
  <c r="P100" i="183"/>
  <c r="T98" i="183"/>
  <c r="P98" i="183"/>
  <c r="T97" i="183"/>
  <c r="P97" i="183"/>
  <c r="P96" i="183" s="1"/>
  <c r="P95" i="183" s="1"/>
  <c r="M97" i="183"/>
  <c r="T91" i="183"/>
  <c r="M91" i="183"/>
  <c r="P91" i="183" s="1"/>
  <c r="T90" i="183"/>
  <c r="P90" i="183"/>
  <c r="P88" i="183" s="1"/>
  <c r="T89" i="183"/>
  <c r="P89" i="183"/>
  <c r="T86" i="183"/>
  <c r="T82" i="183" s="1"/>
  <c r="M86" i="183"/>
  <c r="P86" i="183" s="1"/>
  <c r="T84" i="183"/>
  <c r="M84" i="183"/>
  <c r="P84" i="183" s="1"/>
  <c r="P82" i="183" s="1"/>
  <c r="U80" i="183"/>
  <c r="T79" i="183"/>
  <c r="P79" i="183"/>
  <c r="T78" i="183"/>
  <c r="P78" i="183"/>
  <c r="T77" i="183"/>
  <c r="P77" i="183"/>
  <c r="T76" i="183"/>
  <c r="P76" i="183"/>
  <c r="T75" i="183"/>
  <c r="P75" i="183"/>
  <c r="T74" i="183"/>
  <c r="P74" i="183"/>
  <c r="T73" i="183"/>
  <c r="P73" i="183"/>
  <c r="U69" i="183"/>
  <c r="T68" i="183"/>
  <c r="U68" i="183" s="1"/>
  <c r="T62" i="183"/>
  <c r="T61" i="183"/>
  <c r="T60" i="183"/>
  <c r="T58" i="183"/>
  <c r="T57" i="183"/>
  <c r="T56" i="183"/>
  <c r="M53" i="183"/>
  <c r="P53" i="183" s="1"/>
  <c r="T52" i="183"/>
  <c r="P52" i="183"/>
  <c r="T51" i="183"/>
  <c r="P51" i="183"/>
  <c r="T50" i="183"/>
  <c r="P50" i="183"/>
  <c r="T49" i="183"/>
  <c r="P49" i="183"/>
  <c r="T46" i="183"/>
  <c r="M46" i="183"/>
  <c r="P46" i="183" s="1"/>
  <c r="T45" i="183"/>
  <c r="M45" i="183"/>
  <c r="P45" i="183" s="1"/>
  <c r="T44" i="183"/>
  <c r="P44" i="183"/>
  <c r="T43" i="183"/>
  <c r="P43" i="183"/>
  <c r="T42" i="183"/>
  <c r="P42" i="183"/>
  <c r="T41" i="183"/>
  <c r="P41" i="183"/>
  <c r="T40" i="183"/>
  <c r="P40" i="183"/>
  <c r="T39" i="183"/>
  <c r="M39" i="183"/>
  <c r="P39" i="183" s="1"/>
  <c r="U36" i="183"/>
  <c r="T35" i="183"/>
  <c r="P35" i="183"/>
  <c r="P34" i="183"/>
  <c r="M17" i="183"/>
  <c r="U54" i="150" l="1"/>
  <c r="U58" i="150"/>
  <c r="U66" i="150"/>
  <c r="U46" i="150"/>
  <c r="U62" i="150"/>
  <c r="U43" i="150"/>
  <c r="U44" i="150"/>
  <c r="U55" i="150"/>
  <c r="U59" i="150"/>
  <c r="U63" i="150"/>
  <c r="P96" i="150"/>
  <c r="P81" i="150"/>
  <c r="P69" i="150"/>
  <c r="P110" i="150"/>
  <c r="P109" i="150" s="1"/>
  <c r="U56" i="150"/>
  <c r="U60" i="150"/>
  <c r="U64" i="150"/>
  <c r="T51" i="150"/>
  <c r="T50" i="150" s="1"/>
  <c r="P51" i="150"/>
  <c r="U51" i="150" s="1"/>
  <c r="P76" i="150"/>
  <c r="P90" i="150"/>
  <c r="U53" i="150"/>
  <c r="U57" i="150"/>
  <c r="U61" i="150"/>
  <c r="U65" i="150"/>
  <c r="U52" i="150"/>
  <c r="T38" i="150"/>
  <c r="P75" i="150"/>
  <c r="P38" i="150"/>
  <c r="P37" i="150" s="1"/>
  <c r="P32" i="150" s="1"/>
  <c r="P101" i="150"/>
  <c r="P100" i="150" s="1"/>
  <c r="T66" i="149"/>
  <c r="U66" i="149" s="1"/>
  <c r="P62" i="149"/>
  <c r="P74" i="149"/>
  <c r="P73" i="149" s="1"/>
  <c r="U58" i="149"/>
  <c r="U64" i="149"/>
  <c r="T55" i="149"/>
  <c r="U55" i="149" s="1"/>
  <c r="U59" i="149"/>
  <c r="U71" i="149"/>
  <c r="U70" i="149"/>
  <c r="U63" i="149"/>
  <c r="T54" i="149"/>
  <c r="U56" i="149"/>
  <c r="P55" i="149"/>
  <c r="P54" i="149" s="1"/>
  <c r="U99" i="168"/>
  <c r="T90" i="168"/>
  <c r="T89" i="168" s="1"/>
  <c r="U86" i="168"/>
  <c r="T71" i="168"/>
  <c r="U60" i="168"/>
  <c r="T64" i="168"/>
  <c r="T45" i="168"/>
  <c r="U58" i="168"/>
  <c r="U95" i="168"/>
  <c r="U62" i="168"/>
  <c r="T81" i="168"/>
  <c r="U81" i="168" s="1"/>
  <c r="U82" i="168"/>
  <c r="U79" i="168"/>
  <c r="T57" i="168"/>
  <c r="U97" i="168"/>
  <c r="U65" i="168"/>
  <c r="T61" i="168"/>
  <c r="U66" i="168"/>
  <c r="P77" i="168"/>
  <c r="U42" i="168"/>
  <c r="U48" i="168"/>
  <c r="U52" i="168"/>
  <c r="U49" i="168"/>
  <c r="U53" i="168"/>
  <c r="U50" i="168"/>
  <c r="U100" i="168"/>
  <c r="U59" i="168"/>
  <c r="U47" i="168"/>
  <c r="U51" i="168"/>
  <c r="U63" i="168"/>
  <c r="U34" i="168"/>
  <c r="T33" i="168"/>
  <c r="U35" i="168"/>
  <c r="U38" i="168"/>
  <c r="V38" i="168" s="1"/>
  <c r="U96" i="168"/>
  <c r="P46" i="168"/>
  <c r="P45" i="168" s="1"/>
  <c r="P64" i="168"/>
  <c r="U64" i="168" s="1"/>
  <c r="P90" i="168"/>
  <c r="P89" i="168" s="1"/>
  <c r="P38" i="168"/>
  <c r="P37" i="168" s="1"/>
  <c r="P32" i="168" s="1"/>
  <c r="P57" i="168"/>
  <c r="P71" i="168"/>
  <c r="P70" i="168" s="1"/>
  <c r="T45" i="184"/>
  <c r="T38" i="184"/>
  <c r="T37" i="184" s="1"/>
  <c r="T32" i="184"/>
  <c r="T30" i="184" s="1"/>
  <c r="T29" i="184" s="1"/>
  <c r="T28" i="184" s="1"/>
  <c r="P38" i="184"/>
  <c r="U46" i="184"/>
  <c r="V46" i="184" s="1"/>
  <c r="P54" i="184"/>
  <c r="U54" i="184" s="1"/>
  <c r="U55" i="184"/>
  <c r="U38" i="184"/>
  <c r="V38" i="184" s="1"/>
  <c r="P37" i="184"/>
  <c r="P32" i="184" s="1"/>
  <c r="U39" i="184"/>
  <c r="V39" i="184" s="1"/>
  <c r="U47" i="184"/>
  <c r="V47" i="184" s="1"/>
  <c r="U73" i="183"/>
  <c r="P105" i="183"/>
  <c r="P104" i="183" s="1"/>
  <c r="P48" i="183"/>
  <c r="T48" i="183"/>
  <c r="U75" i="183"/>
  <c r="U35" i="183"/>
  <c r="T34" i="183"/>
  <c r="U34" i="183" s="1"/>
  <c r="V34" i="183" s="1"/>
  <c r="U40" i="183"/>
  <c r="V40" i="183" s="1"/>
  <c r="T67" i="183"/>
  <c r="T66" i="183" s="1"/>
  <c r="U66" i="183" s="1"/>
  <c r="T96" i="183"/>
  <c r="T72" i="183"/>
  <c r="T71" i="183" s="1"/>
  <c r="U74" i="183"/>
  <c r="T88" i="183"/>
  <c r="T81" i="183" s="1"/>
  <c r="T100" i="183"/>
  <c r="U60" i="184"/>
  <c r="U59" i="184"/>
  <c r="U52" i="184"/>
  <c r="U113" i="183"/>
  <c r="T112" i="183"/>
  <c r="U112" i="183" s="1"/>
  <c r="U110" i="183"/>
  <c r="U109" i="183" s="1"/>
  <c r="T109" i="183"/>
  <c r="P38" i="183"/>
  <c r="P37" i="183" s="1"/>
  <c r="U39" i="183"/>
  <c r="V39" i="183" s="1"/>
  <c r="P81" i="183"/>
  <c r="U81" i="183" s="1"/>
  <c r="T55" i="183"/>
  <c r="T105" i="183"/>
  <c r="P33" i="183"/>
  <c r="T38" i="183"/>
  <c r="P72" i="183"/>
  <c r="P89" i="150" l="1"/>
  <c r="P50" i="150"/>
  <c r="U50" i="150"/>
  <c r="P49" i="150"/>
  <c r="P30" i="150" s="1"/>
  <c r="P29" i="150" s="1"/>
  <c r="P28" i="150" s="1"/>
  <c r="T62" i="149"/>
  <c r="U62" i="149" s="1"/>
  <c r="U53" i="149"/>
  <c r="U54" i="149"/>
  <c r="P30" i="149"/>
  <c r="P29" i="149" s="1"/>
  <c r="P28" i="149" s="1"/>
  <c r="U45" i="168"/>
  <c r="U78" i="168"/>
  <c r="U37" i="168"/>
  <c r="T70" i="168"/>
  <c r="U70" i="168" s="1"/>
  <c r="U71" i="168"/>
  <c r="P56" i="168"/>
  <c r="T56" i="168"/>
  <c r="U77" i="168"/>
  <c r="U57" i="168"/>
  <c r="U46" i="168"/>
  <c r="T32" i="168"/>
  <c r="U32" i="168" s="1"/>
  <c r="U33" i="168"/>
  <c r="V33" i="168" s="1"/>
  <c r="P55" i="168"/>
  <c r="P44" i="168" s="1"/>
  <c r="P30" i="168" s="1"/>
  <c r="P29" i="168" s="1"/>
  <c r="P28" i="168" s="1"/>
  <c r="P45" i="184"/>
  <c r="P30" i="184" s="1"/>
  <c r="P29" i="184" s="1"/>
  <c r="P28" i="184" s="1"/>
  <c r="T37" i="183"/>
  <c r="T33" i="183" s="1"/>
  <c r="T32" i="183" s="1"/>
  <c r="T104" i="183"/>
  <c r="U104" i="183" s="1"/>
  <c r="U88" i="183"/>
  <c r="U67" i="183"/>
  <c r="T95" i="183"/>
  <c r="U42" i="184"/>
  <c r="U43" i="184"/>
  <c r="T17" i="184"/>
  <c r="T71" i="184"/>
  <c r="U34" i="184"/>
  <c r="V34" i="184" s="1"/>
  <c r="P71" i="183"/>
  <c r="P70" i="183" s="1"/>
  <c r="U72" i="183"/>
  <c r="U33" i="183"/>
  <c r="P32" i="183"/>
  <c r="U56" i="168" l="1"/>
  <c r="U55" i="168"/>
  <c r="T70" i="183"/>
  <c r="T30" i="183" s="1"/>
  <c r="T29" i="183" s="1"/>
  <c r="T28" i="183" s="1"/>
  <c r="T17" i="183"/>
  <c r="T116" i="183"/>
  <c r="U33" i="184"/>
  <c r="U32" i="183"/>
  <c r="P30" i="183"/>
  <c r="U44" i="168" l="1"/>
  <c r="U32" i="184"/>
  <c r="U30" i="183"/>
  <c r="P29" i="183"/>
  <c r="P28" i="183" s="1"/>
  <c r="U30" i="184" l="1"/>
  <c r="P116" i="183"/>
  <c r="U116" i="183" s="1"/>
  <c r="U28" i="183"/>
  <c r="Q17" i="183"/>
  <c r="U28" i="184" l="1"/>
  <c r="Q17" i="184"/>
  <c r="P71" i="184"/>
  <c r="U71" i="184" s="1"/>
  <c r="V71" i="184" s="1"/>
  <c r="V116" i="183"/>
  <c r="X122" i="183"/>
  <c r="T37" i="171" l="1"/>
  <c r="T33" i="171"/>
  <c r="T32" i="171" s="1"/>
  <c r="T30" i="171" s="1"/>
  <c r="T52" i="171"/>
  <c r="T78" i="171"/>
  <c r="T95" i="171"/>
  <c r="T130" i="171"/>
  <c r="T164" i="171"/>
  <c r="T163" i="171"/>
  <c r="T162" i="171"/>
  <c r="T161" i="171"/>
  <c r="T160" i="171" s="1"/>
  <c r="T159" i="171"/>
  <c r="T158" i="171"/>
  <c r="T123" i="171"/>
  <c r="T122" i="171" s="1"/>
  <c r="T121" i="171" s="1"/>
  <c r="T126" i="171"/>
  <c r="T127" i="171"/>
  <c r="T129" i="171"/>
  <c r="T103" i="171"/>
  <c r="T101" i="171"/>
  <c r="T100" i="171" s="1"/>
  <c r="T99" i="171"/>
  <c r="T98" i="171"/>
  <c r="T97" i="171"/>
  <c r="T96" i="171" s="1"/>
  <c r="T102" i="171"/>
  <c r="T90" i="171"/>
  <c r="T89" i="171"/>
  <c r="T88" i="171"/>
  <c r="T87" i="171"/>
  <c r="T86" i="171"/>
  <c r="T85" i="171"/>
  <c r="T84" i="171"/>
  <c r="T83" i="171"/>
  <c r="T82" i="171"/>
  <c r="T80" i="171" s="1"/>
  <c r="T79" i="171" s="1"/>
  <c r="U81" i="171"/>
  <c r="T81" i="171"/>
  <c r="Q71" i="171"/>
  <c r="T71" i="171"/>
  <c r="T70" i="171" s="1"/>
  <c r="T69" i="171" s="1"/>
  <c r="T67" i="171"/>
  <c r="T66" i="171"/>
  <c r="T65" i="171"/>
  <c r="T64" i="171"/>
  <c r="T63" i="171"/>
  <c r="T62" i="171"/>
  <c r="T60" i="171"/>
  <c r="T59" i="171"/>
  <c r="M157" i="171"/>
  <c r="P157" i="171" s="1"/>
  <c r="M156" i="171"/>
  <c r="P156" i="171" s="1"/>
  <c r="M155" i="171"/>
  <c r="P155" i="171" s="1"/>
  <c r="M153" i="171"/>
  <c r="P153" i="171" s="1"/>
  <c r="M152" i="171"/>
  <c r="P152" i="171" s="1"/>
  <c r="M150" i="171"/>
  <c r="P150" i="171" s="1"/>
  <c r="M149" i="171"/>
  <c r="P149" i="171" s="1"/>
  <c r="M147" i="171"/>
  <c r="P147" i="171" s="1"/>
  <c r="M146" i="171"/>
  <c r="P146" i="171" s="1"/>
  <c r="M145" i="171"/>
  <c r="P145" i="171" s="1"/>
  <c r="P144" i="171" s="1"/>
  <c r="M143" i="171"/>
  <c r="P143" i="171" s="1"/>
  <c r="M142" i="171"/>
  <c r="P142" i="171" s="1"/>
  <c r="P140" i="171"/>
  <c r="P139" i="171"/>
  <c r="P138" i="171"/>
  <c r="M136" i="171"/>
  <c r="P136" i="171" s="1"/>
  <c r="M135" i="171"/>
  <c r="P135" i="171" s="1"/>
  <c r="M133" i="171"/>
  <c r="P133" i="171" s="1"/>
  <c r="M132" i="171"/>
  <c r="P132" i="171" s="1"/>
  <c r="P127" i="171"/>
  <c r="P126" i="171" s="1"/>
  <c r="P124" i="171"/>
  <c r="P123" i="171"/>
  <c r="P122" i="171" s="1"/>
  <c r="M119" i="171"/>
  <c r="P119" i="171" s="1"/>
  <c r="P118" i="171" s="1"/>
  <c r="M117" i="171"/>
  <c r="P117" i="171" s="1"/>
  <c r="P116" i="171" s="1"/>
  <c r="M115" i="171"/>
  <c r="P115" i="171" s="1"/>
  <c r="P114" i="171" s="1"/>
  <c r="M113" i="171"/>
  <c r="P113" i="171" s="1"/>
  <c r="P112" i="171"/>
  <c r="M110" i="171"/>
  <c r="P110" i="171" s="1"/>
  <c r="P108" i="171" s="1"/>
  <c r="P109" i="171"/>
  <c r="M107" i="171"/>
  <c r="P107" i="171" s="1"/>
  <c r="P106" i="171"/>
  <c r="M104" i="171"/>
  <c r="P104" i="171" s="1"/>
  <c r="M103" i="171"/>
  <c r="P103" i="171" s="1"/>
  <c r="P92" i="171"/>
  <c r="P91" i="171"/>
  <c r="P90" i="171"/>
  <c r="P89" i="171"/>
  <c r="P88" i="171"/>
  <c r="P87" i="171"/>
  <c r="P86" i="171"/>
  <c r="P85" i="171"/>
  <c r="P84" i="171"/>
  <c r="P83" i="171"/>
  <c r="P82" i="171"/>
  <c r="P81" i="171"/>
  <c r="P76" i="171"/>
  <c r="P75" i="171"/>
  <c r="P74" i="171"/>
  <c r="P73" i="171"/>
  <c r="M72" i="171"/>
  <c r="P72" i="171" s="1"/>
  <c r="M71" i="171"/>
  <c r="P71" i="171" s="1"/>
  <c r="M60" i="171"/>
  <c r="P60" i="171" s="1"/>
  <c r="M58" i="171"/>
  <c r="P58" i="171" s="1"/>
  <c r="M57" i="171"/>
  <c r="P57" i="171" s="1"/>
  <c r="M56" i="171"/>
  <c r="P56" i="171" s="1"/>
  <c r="M55" i="171"/>
  <c r="P55" i="171" s="1"/>
  <c r="M54" i="171"/>
  <c r="P54" i="171" s="1"/>
  <c r="M53" i="171"/>
  <c r="P53" i="171" s="1"/>
  <c r="M51" i="171"/>
  <c r="P51" i="171" s="1"/>
  <c r="M50" i="171"/>
  <c r="P50" i="171" s="1"/>
  <c r="M49" i="171"/>
  <c r="P49" i="171" s="1"/>
  <c r="M48" i="171"/>
  <c r="P48" i="171" s="1"/>
  <c r="M46" i="171"/>
  <c r="P46" i="171" s="1"/>
  <c r="M45" i="171"/>
  <c r="P45" i="171" s="1"/>
  <c r="P44" i="171"/>
  <c r="M44" i="171"/>
  <c r="M43" i="171"/>
  <c r="P43" i="171" s="1"/>
  <c r="M42" i="171"/>
  <c r="P42" i="171" s="1"/>
  <c r="M41" i="171"/>
  <c r="P41" i="171" s="1"/>
  <c r="M40" i="171"/>
  <c r="P40" i="171" s="1"/>
  <c r="M39" i="171"/>
  <c r="P39" i="171" s="1"/>
  <c r="P35" i="171"/>
  <c r="P34" i="171" s="1"/>
  <c r="T35" i="151"/>
  <c r="T34" i="151" s="1"/>
  <c r="T130" i="151"/>
  <c r="T131" i="151"/>
  <c r="T119" i="151"/>
  <c r="T118" i="151" s="1"/>
  <c r="T120" i="151"/>
  <c r="T121" i="151"/>
  <c r="T122" i="151"/>
  <c r="T123" i="151"/>
  <c r="T124" i="151"/>
  <c r="T125" i="151"/>
  <c r="T99" i="151"/>
  <c r="T98" i="151" s="1"/>
  <c r="T97" i="151" s="1"/>
  <c r="T103" i="151"/>
  <c r="T102" i="151" s="1"/>
  <c r="T101" i="151" s="1"/>
  <c r="T104" i="151"/>
  <c r="T105" i="151"/>
  <c r="T106" i="151"/>
  <c r="T110" i="151"/>
  <c r="T109" i="151" s="1"/>
  <c r="T108" i="151" s="1"/>
  <c r="T81" i="151"/>
  <c r="T82" i="151"/>
  <c r="T83" i="151"/>
  <c r="T76" i="151"/>
  <c r="T75" i="151" s="1"/>
  <c r="T70" i="151"/>
  <c r="T71" i="151"/>
  <c r="T58" i="151"/>
  <c r="U58" i="151" s="1"/>
  <c r="V58" i="151" s="1"/>
  <c r="P138" i="151"/>
  <c r="P137" i="151"/>
  <c r="P136" i="151"/>
  <c r="P135" i="151"/>
  <c r="P133" i="151"/>
  <c r="P132" i="151"/>
  <c r="P131" i="151"/>
  <c r="P130" i="151"/>
  <c r="P125" i="151"/>
  <c r="P124" i="151"/>
  <c r="P123" i="151"/>
  <c r="P122" i="151"/>
  <c r="P121" i="151"/>
  <c r="P120" i="151"/>
  <c r="P119" i="151"/>
  <c r="P114" i="151"/>
  <c r="P113" i="151"/>
  <c r="P112" i="151" s="1"/>
  <c r="P110" i="151"/>
  <c r="P109" i="151" s="1"/>
  <c r="P108" i="151" s="1"/>
  <c r="P106" i="151"/>
  <c r="P105" i="151"/>
  <c r="P104" i="151"/>
  <c r="P103" i="151"/>
  <c r="P99" i="151"/>
  <c r="P98" i="151"/>
  <c r="P97" i="151" s="1"/>
  <c r="M95" i="151"/>
  <c r="P95" i="151" s="1"/>
  <c r="M94" i="151"/>
  <c r="P94" i="151" s="1"/>
  <c r="M90" i="151"/>
  <c r="P90" i="151" s="1"/>
  <c r="P89" i="151" s="1"/>
  <c r="O87" i="151"/>
  <c r="P87" i="151" s="1"/>
  <c r="O86" i="151"/>
  <c r="P86" i="151" s="1"/>
  <c r="O85" i="151"/>
  <c r="P85" i="151" s="1"/>
  <c r="P84" i="151"/>
  <c r="P83" i="151"/>
  <c r="P82" i="151"/>
  <c r="P81" i="151"/>
  <c r="P78" i="151"/>
  <c r="P77" i="151"/>
  <c r="P76" i="151"/>
  <c r="P72" i="151"/>
  <c r="P71" i="151"/>
  <c r="P70" i="151"/>
  <c r="P65" i="151"/>
  <c r="P64" i="151"/>
  <c r="P63" i="151"/>
  <c r="P62" i="151"/>
  <c r="M54" i="151"/>
  <c r="P54" i="151" s="1"/>
  <c r="M53" i="151"/>
  <c r="P53" i="151" s="1"/>
  <c r="M52" i="151"/>
  <c r="P52" i="151" s="1"/>
  <c r="M51" i="151"/>
  <c r="P51" i="151" s="1"/>
  <c r="M50" i="151"/>
  <c r="P50" i="151" s="1"/>
  <c r="P49" i="151"/>
  <c r="M48" i="151"/>
  <c r="P48" i="151" s="1"/>
  <c r="M45" i="151"/>
  <c r="P45" i="151" s="1"/>
  <c r="M44" i="151"/>
  <c r="P44" i="151" s="1"/>
  <c r="M43" i="151"/>
  <c r="P43" i="151" s="1"/>
  <c r="M42" i="151"/>
  <c r="P42" i="151" s="1"/>
  <c r="M41" i="151"/>
  <c r="P41" i="151" s="1"/>
  <c r="P40" i="151"/>
  <c r="M39" i="151"/>
  <c r="P39" i="151" s="1"/>
  <c r="P35" i="151"/>
  <c r="P34" i="151" s="1"/>
  <c r="T30" i="170"/>
  <c r="T60" i="170"/>
  <c r="T61" i="170"/>
  <c r="T62" i="170"/>
  <c r="T70" i="170"/>
  <c r="T71" i="170"/>
  <c r="U70" i="170" s="1"/>
  <c r="T74" i="170"/>
  <c r="U74" i="170" s="1"/>
  <c r="P37" i="170"/>
  <c r="U48" i="170"/>
  <c r="U49" i="170"/>
  <c r="U50" i="170"/>
  <c r="U52" i="170"/>
  <c r="U53" i="170"/>
  <c r="U57" i="170"/>
  <c r="U58" i="170"/>
  <c r="U75" i="170"/>
  <c r="T73" i="170"/>
  <c r="U73" i="170" s="1"/>
  <c r="T72" i="170"/>
  <c r="U72" i="170" s="1"/>
  <c r="T68" i="170"/>
  <c r="U68" i="170" s="1"/>
  <c r="T67" i="170"/>
  <c r="U67" i="170" s="1"/>
  <c r="T66" i="170"/>
  <c r="U66" i="170" s="1"/>
  <c r="T65" i="170"/>
  <c r="U65" i="170" s="1"/>
  <c r="T64" i="170"/>
  <c r="U64" i="170" s="1"/>
  <c r="T63" i="170"/>
  <c r="U63" i="170" s="1"/>
  <c r="T102" i="170"/>
  <c r="U102" i="170" s="1"/>
  <c r="T101" i="170"/>
  <c r="T100" i="170" s="1"/>
  <c r="U100" i="170" s="1"/>
  <c r="T94" i="171" l="1"/>
  <c r="U86" i="171"/>
  <c r="U83" i="171"/>
  <c r="T61" i="171"/>
  <c r="U61" i="171" s="1"/>
  <c r="P137" i="171"/>
  <c r="P154" i="171"/>
  <c r="P111" i="171"/>
  <c r="P70" i="171"/>
  <c r="P69" i="171" s="1"/>
  <c r="P80" i="171"/>
  <c r="P79" i="171" s="1"/>
  <c r="P148" i="171"/>
  <c r="P121" i="171"/>
  <c r="P102" i="171"/>
  <c r="P141" i="171"/>
  <c r="U60" i="171"/>
  <c r="P105" i="171"/>
  <c r="P151" i="171"/>
  <c r="P38" i="171"/>
  <c r="P47" i="171"/>
  <c r="P134" i="171"/>
  <c r="P52" i="171"/>
  <c r="P131" i="171"/>
  <c r="P129" i="151"/>
  <c r="U83" i="151"/>
  <c r="V83" i="151" s="1"/>
  <c r="P80" i="151"/>
  <c r="P74" i="151" s="1"/>
  <c r="P118" i="151"/>
  <c r="T129" i="151"/>
  <c r="T128" i="151" s="1"/>
  <c r="T127" i="151" s="1"/>
  <c r="T117" i="151" s="1"/>
  <c r="T116" i="151" s="1"/>
  <c r="P75" i="151"/>
  <c r="U70" i="151"/>
  <c r="V70" i="151" s="1"/>
  <c r="U34" i="151"/>
  <c r="V34" i="151" s="1"/>
  <c r="P61" i="151"/>
  <c r="P60" i="151" s="1"/>
  <c r="P102" i="151"/>
  <c r="P101" i="151" s="1"/>
  <c r="T80" i="151"/>
  <c r="T69" i="151"/>
  <c r="P47" i="151"/>
  <c r="P69" i="151"/>
  <c r="P68" i="151" s="1"/>
  <c r="P134" i="151"/>
  <c r="T57" i="151"/>
  <c r="T56" i="151" s="1"/>
  <c r="U56" i="151" s="1"/>
  <c r="V56" i="151" s="1"/>
  <c r="P38" i="151"/>
  <c r="P37" i="151" s="1"/>
  <c r="P33" i="151" s="1"/>
  <c r="P32" i="151" s="1"/>
  <c r="P93" i="151"/>
  <c r="P92" i="151" s="1"/>
  <c r="U55" i="170"/>
  <c r="U56" i="170"/>
  <c r="U47" i="170"/>
  <c r="U61" i="170"/>
  <c r="U60" i="170"/>
  <c r="U62" i="170"/>
  <c r="U71" i="170"/>
  <c r="U101" i="170"/>
  <c r="P95" i="171" l="1"/>
  <c r="P94" i="171" s="1"/>
  <c r="P37" i="171"/>
  <c r="P33" i="171" s="1"/>
  <c r="P32" i="171" s="1"/>
  <c r="P130" i="171"/>
  <c r="P129" i="171" s="1"/>
  <c r="P128" i="151"/>
  <c r="P127" i="151" s="1"/>
  <c r="P117" i="151" s="1"/>
  <c r="P116" i="151" s="1"/>
  <c r="T74" i="151"/>
  <c r="U74" i="151" s="1"/>
  <c r="T33" i="151"/>
  <c r="T32" i="151" s="1"/>
  <c r="P67" i="151"/>
  <c r="P30" i="151" s="1"/>
  <c r="P29" i="151" s="1"/>
  <c r="P28" i="151" s="1"/>
  <c r="T68" i="151"/>
  <c r="U69" i="151"/>
  <c r="V69" i="151" s="1"/>
  <c r="U45" i="170"/>
  <c r="U46" i="170"/>
  <c r="P78" i="171" l="1"/>
  <c r="T67" i="151"/>
  <c r="T30" i="151" s="1"/>
  <c r="T29" i="151" s="1"/>
  <c r="T28" i="151" s="1"/>
  <c r="P30" i="171" l="1"/>
  <c r="P29" i="171" s="1"/>
  <c r="P28" i="171" s="1"/>
  <c r="M98" i="170" l="1"/>
  <c r="P98" i="170" s="1"/>
  <c r="P97" i="170" s="1"/>
  <c r="P96" i="170"/>
  <c r="M96" i="170"/>
  <c r="M95" i="170"/>
  <c r="P95" i="170" s="1"/>
  <c r="P94" i="170" s="1"/>
  <c r="M93" i="170"/>
  <c r="P93" i="170" s="1"/>
  <c r="M92" i="170"/>
  <c r="P92" i="170" s="1"/>
  <c r="P91" i="170" s="1"/>
  <c r="M90" i="170"/>
  <c r="P90" i="170" s="1"/>
  <c r="P89" i="170"/>
  <c r="P88" i="170" s="1"/>
  <c r="P87" i="170" s="1"/>
  <c r="M89" i="170"/>
  <c r="P85" i="170"/>
  <c r="P84" i="170" s="1"/>
  <c r="P83" i="170"/>
  <c r="P82" i="170"/>
  <c r="P81" i="170"/>
  <c r="M78" i="170"/>
  <c r="P78" i="170" s="1"/>
  <c r="P77" i="170"/>
  <c r="P75" i="170" s="1"/>
  <c r="P70" i="170" s="1"/>
  <c r="P76" i="170"/>
  <c r="P73" i="170"/>
  <c r="P72" i="170"/>
  <c r="P71" i="170" s="1"/>
  <c r="P68" i="170"/>
  <c r="P67" i="170"/>
  <c r="P66" i="170"/>
  <c r="P65" i="170"/>
  <c r="P64" i="170"/>
  <c r="P63" i="170"/>
  <c r="P62" i="170" s="1"/>
  <c r="P61" i="170" s="1"/>
  <c r="P58" i="170"/>
  <c r="M58" i="170"/>
  <c r="P57" i="170"/>
  <c r="P56" i="170"/>
  <c r="P55" i="170"/>
  <c r="P53" i="170" s="1"/>
  <c r="P52" i="170" s="1"/>
  <c r="P54" i="170"/>
  <c r="P50" i="170"/>
  <c r="M50" i="170"/>
  <c r="M49" i="170"/>
  <c r="P49" i="170" s="1"/>
  <c r="P48" i="170"/>
  <c r="P47" i="170"/>
  <c r="P46" i="170"/>
  <c r="M45" i="170"/>
  <c r="P45" i="170" s="1"/>
  <c r="M44" i="170"/>
  <c r="P44" i="170" s="1"/>
  <c r="M43" i="170"/>
  <c r="P43" i="170" s="1"/>
  <c r="P33" i="170" s="1"/>
  <c r="P32" i="170" s="1"/>
  <c r="P40" i="170"/>
  <c r="P39" i="170"/>
  <c r="P38" i="170"/>
  <c r="P35" i="170"/>
  <c r="P34" i="170"/>
  <c r="T62" i="182"/>
  <c r="T61" i="182" s="1"/>
  <c r="T60" i="182" s="1"/>
  <c r="T58" i="182"/>
  <c r="T57" i="182"/>
  <c r="T56" i="182"/>
  <c r="T55" i="182"/>
  <c r="T54" i="182"/>
  <c r="T53" i="182"/>
  <c r="T52" i="182"/>
  <c r="T51" i="182"/>
  <c r="T50" i="182"/>
  <c r="T49" i="182" s="1"/>
  <c r="T46" i="182"/>
  <c r="T45" i="182" s="1"/>
  <c r="T44" i="182" s="1"/>
  <c r="T42" i="182"/>
  <c r="T41" i="182"/>
  <c r="U41" i="182" s="1"/>
  <c r="T40" i="182"/>
  <c r="T39" i="182"/>
  <c r="T35" i="182"/>
  <c r="T34" i="182"/>
  <c r="P62" i="182"/>
  <c r="P61" i="182" s="1"/>
  <c r="P60" i="182" s="1"/>
  <c r="P58" i="182"/>
  <c r="P57" i="182"/>
  <c r="P56" i="182"/>
  <c r="P55" i="182"/>
  <c r="P54" i="182"/>
  <c r="P53" i="182"/>
  <c r="P52" i="182"/>
  <c r="P51" i="182"/>
  <c r="M46" i="182"/>
  <c r="P46" i="182" s="1"/>
  <c r="P45" i="182" s="1"/>
  <c r="P44" i="182" s="1"/>
  <c r="M42" i="182"/>
  <c r="P42" i="182" s="1"/>
  <c r="P41" i="182"/>
  <c r="M41" i="182"/>
  <c r="M40" i="182"/>
  <c r="P40" i="182" s="1"/>
  <c r="M39" i="182"/>
  <c r="P39" i="182" s="1"/>
  <c r="P35" i="182"/>
  <c r="P34" i="182" s="1"/>
  <c r="Q83" i="182"/>
  <c r="N83" i="182"/>
  <c r="Q82" i="182"/>
  <c r="N82" i="182"/>
  <c r="Q81" i="182"/>
  <c r="N81" i="182"/>
  <c r="L81" i="182"/>
  <c r="Q80" i="182"/>
  <c r="N80" i="182"/>
  <c r="Q79" i="182"/>
  <c r="N79" i="182"/>
  <c r="Q78" i="182"/>
  <c r="N78" i="182"/>
  <c r="Q77" i="182"/>
  <c r="N77" i="182"/>
  <c r="L73" i="182"/>
  <c r="L72" i="182"/>
  <c r="L68" i="182"/>
  <c r="L67" i="182"/>
  <c r="U59" i="182"/>
  <c r="U57" i="182"/>
  <c r="U53" i="182"/>
  <c r="U52" i="182"/>
  <c r="M17" i="182"/>
  <c r="M10" i="182"/>
  <c r="T71" i="174"/>
  <c r="T70" i="174" s="1"/>
  <c r="T69" i="174" s="1"/>
  <c r="T67" i="174"/>
  <c r="T66" i="174"/>
  <c r="T65" i="174"/>
  <c r="T63" i="174"/>
  <c r="T62" i="174"/>
  <c r="T61" i="174"/>
  <c r="T60" i="174"/>
  <c r="T59" i="174"/>
  <c r="T58" i="174"/>
  <c r="T57" i="174"/>
  <c r="T56" i="174"/>
  <c r="T55" i="174"/>
  <c r="T54" i="174"/>
  <c r="T53" i="174"/>
  <c r="T47" i="174"/>
  <c r="T46" i="174"/>
  <c r="T45" i="174"/>
  <c r="T43" i="174"/>
  <c r="T42" i="174"/>
  <c r="T41" i="174"/>
  <c r="T40" i="174"/>
  <c r="T39" i="174"/>
  <c r="T35" i="174"/>
  <c r="T34" i="174" s="1"/>
  <c r="M71" i="174"/>
  <c r="P71" i="174" s="1"/>
  <c r="P70" i="174" s="1"/>
  <c r="P69" i="174" s="1"/>
  <c r="P67" i="174"/>
  <c r="P66" i="174"/>
  <c r="P65" i="174"/>
  <c r="P63" i="174"/>
  <c r="P62" i="174"/>
  <c r="P61" i="174"/>
  <c r="P60" i="174"/>
  <c r="P59" i="174"/>
  <c r="P58" i="174"/>
  <c r="P57" i="174"/>
  <c r="P56" i="174"/>
  <c r="P55" i="174"/>
  <c r="P54" i="174"/>
  <c r="P53" i="174"/>
  <c r="M47" i="174"/>
  <c r="P47" i="174" s="1"/>
  <c r="M46" i="174"/>
  <c r="P46" i="174" s="1"/>
  <c r="M45" i="174"/>
  <c r="P45" i="174" s="1"/>
  <c r="M43" i="174"/>
  <c r="P43" i="174" s="1"/>
  <c r="P42" i="174"/>
  <c r="M42" i="174"/>
  <c r="M41" i="174"/>
  <c r="P41" i="174" s="1"/>
  <c r="M40" i="174"/>
  <c r="P40" i="174" s="1"/>
  <c r="M39" i="174"/>
  <c r="P39" i="174" s="1"/>
  <c r="P35" i="174"/>
  <c r="P34" i="174"/>
  <c r="Q76" i="181"/>
  <c r="T76" i="181" s="1"/>
  <c r="Q75" i="181"/>
  <c r="T75" i="181" s="1"/>
  <c r="T74" i="181" s="1"/>
  <c r="T73" i="181" s="1"/>
  <c r="T71" i="181"/>
  <c r="T70" i="181"/>
  <c r="Q70" i="181"/>
  <c r="Q69" i="181"/>
  <c r="T69" i="181" s="1"/>
  <c r="T68" i="181" s="1"/>
  <c r="T64" i="181" s="1"/>
  <c r="T66" i="181"/>
  <c r="T65" i="181"/>
  <c r="T62" i="181"/>
  <c r="U62" i="181" s="1"/>
  <c r="T61" i="181"/>
  <c r="T60" i="181"/>
  <c r="T59" i="181"/>
  <c r="T58" i="181"/>
  <c r="T57" i="181"/>
  <c r="T56" i="181"/>
  <c r="T55" i="181"/>
  <c r="T54" i="181"/>
  <c r="T53" i="181" s="1"/>
  <c r="T52" i="181" s="1"/>
  <c r="T49" i="181"/>
  <c r="T48" i="181"/>
  <c r="T47" i="181"/>
  <c r="T46" i="181"/>
  <c r="T45" i="181"/>
  <c r="T44" i="181" s="1"/>
  <c r="Q42" i="181"/>
  <c r="T42" i="181" s="1"/>
  <c r="T41" i="181"/>
  <c r="Q41" i="181"/>
  <c r="Q40" i="181"/>
  <c r="T40" i="181" s="1"/>
  <c r="U40" i="181" s="1"/>
  <c r="V40" i="181" s="1"/>
  <c r="T39" i="181"/>
  <c r="T38" i="181" s="1"/>
  <c r="T37" i="181" s="1"/>
  <c r="Q39" i="181"/>
  <c r="T35" i="181"/>
  <c r="T34" i="181" s="1"/>
  <c r="M76" i="181"/>
  <c r="P76" i="181" s="1"/>
  <c r="M75" i="181"/>
  <c r="P75" i="181" s="1"/>
  <c r="P71" i="181"/>
  <c r="M70" i="181"/>
  <c r="P70" i="181" s="1"/>
  <c r="M69" i="181"/>
  <c r="P69" i="181" s="1"/>
  <c r="P66" i="181"/>
  <c r="P65" i="181" s="1"/>
  <c r="U65" i="181" s="1"/>
  <c r="P62" i="181"/>
  <c r="P61" i="181"/>
  <c r="P60" i="181"/>
  <c r="U60" i="181" s="1"/>
  <c r="P59" i="181"/>
  <c r="P58" i="181"/>
  <c r="P57" i="181"/>
  <c r="P56" i="181"/>
  <c r="P55" i="181"/>
  <c r="P54" i="181"/>
  <c r="P49" i="181"/>
  <c r="P48" i="181"/>
  <c r="P47" i="181"/>
  <c r="P46" i="181"/>
  <c r="M42" i="181"/>
  <c r="P42" i="181" s="1"/>
  <c r="M41" i="181"/>
  <c r="P41" i="181" s="1"/>
  <c r="M40" i="181"/>
  <c r="P40" i="181" s="1"/>
  <c r="M39" i="181"/>
  <c r="P39" i="181" s="1"/>
  <c r="P35" i="181"/>
  <c r="Q97" i="181"/>
  <c r="N97" i="181"/>
  <c r="Q96" i="181"/>
  <c r="N96" i="181"/>
  <c r="Q95" i="181"/>
  <c r="N95" i="181"/>
  <c r="L95" i="181"/>
  <c r="Q94" i="181"/>
  <c r="N94" i="181"/>
  <c r="Q93" i="181"/>
  <c r="N93" i="181"/>
  <c r="Q92" i="181"/>
  <c r="N92" i="181"/>
  <c r="Q91" i="181"/>
  <c r="N91" i="181"/>
  <c r="L87" i="181"/>
  <c r="L86" i="181"/>
  <c r="L82" i="181"/>
  <c r="L81" i="181"/>
  <c r="U72" i="181"/>
  <c r="U67" i="181"/>
  <c r="U63" i="181"/>
  <c r="U59" i="181"/>
  <c r="U58" i="181"/>
  <c r="U56" i="181"/>
  <c r="U55" i="181"/>
  <c r="U47" i="181"/>
  <c r="U46" i="181"/>
  <c r="M17" i="181"/>
  <c r="M10" i="181"/>
  <c r="P80" i="170" l="1"/>
  <c r="P60" i="170" s="1"/>
  <c r="P30" i="170" s="1"/>
  <c r="P29" i="170" s="1"/>
  <c r="P28" i="170" s="1"/>
  <c r="T48" i="182"/>
  <c r="T38" i="182"/>
  <c r="T37" i="182" s="1"/>
  <c r="T33" i="182" s="1"/>
  <c r="T32" i="182" s="1"/>
  <c r="T30" i="182" s="1"/>
  <c r="T29" i="182" s="1"/>
  <c r="T28" i="182" s="1"/>
  <c r="U39" i="182"/>
  <c r="U42" i="182"/>
  <c r="P50" i="182"/>
  <c r="U58" i="182"/>
  <c r="P38" i="182"/>
  <c r="P37" i="182" s="1"/>
  <c r="U40" i="182"/>
  <c r="P49" i="182"/>
  <c r="U50" i="182"/>
  <c r="P33" i="182"/>
  <c r="P32" i="182" s="1"/>
  <c r="U35" i="182"/>
  <c r="U51" i="182"/>
  <c r="U43" i="182"/>
  <c r="U61" i="182"/>
  <c r="U56" i="182"/>
  <c r="T52" i="174"/>
  <c r="T44" i="174"/>
  <c r="T38" i="174"/>
  <c r="T37" i="174" s="1"/>
  <c r="T33" i="174" s="1"/>
  <c r="T32" i="174" s="1"/>
  <c r="T50" i="174"/>
  <c r="T49" i="174" s="1"/>
  <c r="T51" i="174"/>
  <c r="P52" i="174"/>
  <c r="P44" i="174"/>
  <c r="P38" i="174"/>
  <c r="P37" i="174" s="1"/>
  <c r="P33" i="174" s="1"/>
  <c r="P32" i="174" s="1"/>
  <c r="P50" i="174"/>
  <c r="P49" i="174" s="1"/>
  <c r="P51" i="174"/>
  <c r="T33" i="181"/>
  <c r="T32" i="181" s="1"/>
  <c r="T51" i="181"/>
  <c r="U54" i="181"/>
  <c r="U69" i="181"/>
  <c r="U76" i="181"/>
  <c r="U35" i="181"/>
  <c r="V35" i="181" s="1"/>
  <c r="U42" i="181"/>
  <c r="P45" i="181"/>
  <c r="P74" i="181"/>
  <c r="P73" i="181" s="1"/>
  <c r="P53" i="181"/>
  <c r="U61" i="181"/>
  <c r="P34" i="181"/>
  <c r="P33" i="181" s="1"/>
  <c r="P68" i="181"/>
  <c r="P64" i="181" s="1"/>
  <c r="U64" i="181" s="1"/>
  <c r="P38" i="181"/>
  <c r="P37" i="181" s="1"/>
  <c r="U39" i="181"/>
  <c r="V39" i="181" s="1"/>
  <c r="U45" i="181"/>
  <c r="P44" i="181"/>
  <c r="P52" i="181"/>
  <c r="U53" i="181"/>
  <c r="U74" i="181"/>
  <c r="U48" i="181"/>
  <c r="V48" i="181" s="1"/>
  <c r="U66" i="181"/>
  <c r="U57" i="181"/>
  <c r="U37" i="181"/>
  <c r="U43" i="181"/>
  <c r="U44" i="181"/>
  <c r="P30" i="178"/>
  <c r="P29" i="178"/>
  <c r="P28" i="178"/>
  <c r="P36" i="178"/>
  <c r="P35" i="178"/>
  <c r="P34" i="178" s="1"/>
  <c r="P33" i="178" s="1"/>
  <c r="P32" i="178" s="1"/>
  <c r="P44" i="153"/>
  <c r="P43" i="153"/>
  <c r="P42" i="153"/>
  <c r="P41" i="153"/>
  <c r="P40" i="153"/>
  <c r="P39" i="153"/>
  <c r="P38" i="153"/>
  <c r="P37" i="153"/>
  <c r="P34" i="153" s="1"/>
  <c r="P33" i="153" s="1"/>
  <c r="P32" i="153" s="1"/>
  <c r="P36" i="153"/>
  <c r="P35" i="153"/>
  <c r="P55" i="155"/>
  <c r="P54" i="155"/>
  <c r="P53" i="155"/>
  <c r="P51" i="155"/>
  <c r="P50" i="155"/>
  <c r="P48" i="155"/>
  <c r="P47" i="155"/>
  <c r="P46" i="155" s="1"/>
  <c r="P44" i="155"/>
  <c r="M43" i="155"/>
  <c r="P43" i="155" s="1"/>
  <c r="M42" i="155"/>
  <c r="P42" i="155" s="1"/>
  <c r="M41" i="155"/>
  <c r="P41" i="155" s="1"/>
  <c r="M40" i="155"/>
  <c r="P40" i="155" s="1"/>
  <c r="P35" i="155"/>
  <c r="P34" i="155" s="1"/>
  <c r="P33" i="155" s="1"/>
  <c r="P32" i="155" s="1"/>
  <c r="P45" i="179"/>
  <c r="P44" i="179" s="1"/>
  <c r="P43" i="179"/>
  <c r="P42" i="179" s="1"/>
  <c r="P39" i="179"/>
  <c r="P38" i="179" s="1"/>
  <c r="P37" i="179"/>
  <c r="P36" i="179" s="1"/>
  <c r="P48" i="182" l="1"/>
  <c r="U48" i="182" s="1"/>
  <c r="U49" i="182"/>
  <c r="P30" i="182"/>
  <c r="P29" i="182" s="1"/>
  <c r="P28" i="182" s="1"/>
  <c r="U47" i="182"/>
  <c r="U34" i="182"/>
  <c r="T17" i="182"/>
  <c r="T64" i="182"/>
  <c r="U38" i="182"/>
  <c r="U60" i="182"/>
  <c r="U55" i="182"/>
  <c r="U33" i="182"/>
  <c r="V33" i="182" s="1"/>
  <c r="T30" i="174"/>
  <c r="T29" i="174" s="1"/>
  <c r="T28" i="174" s="1"/>
  <c r="P30" i="174"/>
  <c r="P29" i="174" s="1"/>
  <c r="P28" i="174" s="1"/>
  <c r="T30" i="181"/>
  <c r="T29" i="181" s="1"/>
  <c r="T28" i="181" s="1"/>
  <c r="U68" i="181"/>
  <c r="U34" i="181"/>
  <c r="T17" i="181"/>
  <c r="P32" i="181"/>
  <c r="P51" i="181"/>
  <c r="U52" i="181"/>
  <c r="U71" i="181"/>
  <c r="U36" i="181"/>
  <c r="P39" i="155"/>
  <c r="P38" i="155" s="1"/>
  <c r="P37" i="155" s="1"/>
  <c r="P35" i="179"/>
  <c r="P41" i="179"/>
  <c r="U37" i="182" l="1"/>
  <c r="U46" i="182"/>
  <c r="U45" i="182"/>
  <c r="T78" i="181"/>
  <c r="P30" i="181"/>
  <c r="P29" i="181" s="1"/>
  <c r="P28" i="181" s="1"/>
  <c r="U32" i="181"/>
  <c r="U50" i="181"/>
  <c r="U51" i="181"/>
  <c r="P34" i="179"/>
  <c r="U32" i="182" l="1"/>
  <c r="U30" i="182" l="1"/>
  <c r="U30" i="181"/>
  <c r="U29" i="182" l="1"/>
  <c r="U28" i="181"/>
  <c r="U78" i="181" s="1"/>
  <c r="Q17" i="181"/>
  <c r="P78" i="181"/>
  <c r="P64" i="182" l="1"/>
  <c r="U28" i="182"/>
  <c r="U64" i="182" s="1"/>
  <c r="V64" i="182" s="1"/>
  <c r="Q17" i="182"/>
  <c r="V78" i="181"/>
  <c r="T61" i="179" l="1"/>
  <c r="Q67" i="179"/>
  <c r="Q66" i="179"/>
  <c r="Q65" i="179"/>
  <c r="Q64" i="179"/>
  <c r="Q63" i="179"/>
  <c r="Q62" i="179"/>
  <c r="Q61" i="179"/>
  <c r="N67" i="179"/>
  <c r="N66" i="179"/>
  <c r="N65" i="179"/>
  <c r="N64" i="179"/>
  <c r="N63" i="179"/>
  <c r="N62" i="179"/>
  <c r="N61" i="179"/>
  <c r="L57" i="179"/>
  <c r="L56" i="179"/>
  <c r="L52" i="179"/>
  <c r="L51" i="179"/>
  <c r="M10" i="179"/>
  <c r="L65" i="179"/>
  <c r="T44" i="179"/>
  <c r="U44" i="179" s="1"/>
  <c r="T43" i="179"/>
  <c r="U43" i="179" s="1"/>
  <c r="T40" i="179"/>
  <c r="T39" i="179" s="1"/>
  <c r="T37" i="179"/>
  <c r="U37" i="179" s="1"/>
  <c r="T19" i="179"/>
  <c r="M19" i="179"/>
  <c r="T18" i="179"/>
  <c r="M18" i="179"/>
  <c r="M17" i="179"/>
  <c r="T16" i="179"/>
  <c r="M16" i="179"/>
  <c r="U40" i="179" l="1"/>
  <c r="T42" i="179"/>
  <c r="U42" i="179" s="1"/>
  <c r="T36" i="179"/>
  <c r="T35" i="179" s="1"/>
  <c r="U39" i="179"/>
  <c r="T34" i="179" l="1"/>
  <c r="T32" i="179" s="1"/>
  <c r="T30" i="179" s="1"/>
  <c r="T28" i="179" s="1"/>
  <c r="T17" i="179" s="1"/>
  <c r="U36" i="179"/>
  <c r="T47" i="179" l="1"/>
  <c r="U35" i="179"/>
  <c r="V34" i="179" l="1"/>
  <c r="P32" i="179"/>
  <c r="P30" i="179" l="1"/>
  <c r="U32" i="179"/>
  <c r="V32" i="179" s="1"/>
  <c r="P28" i="179" l="1"/>
  <c r="U30" i="179"/>
  <c r="V30" i="179" s="1"/>
  <c r="U28" i="179" l="1"/>
  <c r="U47" i="179" s="1"/>
  <c r="Q17" i="179"/>
  <c r="P47" i="179"/>
  <c r="V47" i="179" l="1"/>
  <c r="P38" i="177" l="1"/>
  <c r="T38" i="177"/>
  <c r="T47" i="177"/>
  <c r="P47" i="177"/>
  <c r="U47" i="177" s="1"/>
  <c r="P34" i="162"/>
  <c r="X31" i="7" l="1"/>
  <c r="X32" i="7" s="1"/>
  <c r="Z31" i="7"/>
  <c r="AB31" i="7" s="1"/>
  <c r="AB32" i="7" s="1"/>
  <c r="I31" i="7"/>
  <c r="J31" i="7"/>
  <c r="J32" i="7" s="1"/>
  <c r="K31" i="7" l="1"/>
  <c r="N31" i="7" s="1"/>
  <c r="I32" i="7"/>
  <c r="T28" i="178" l="1"/>
  <c r="T29" i="178"/>
  <c r="T30" i="178"/>
  <c r="T35" i="178"/>
  <c r="U35" i="178" s="1"/>
  <c r="V35" i="178" s="1"/>
  <c r="T36" i="178"/>
  <c r="U36" i="178" s="1"/>
  <c r="V36" i="178" s="1"/>
  <c r="L55" i="178"/>
  <c r="T38" i="178"/>
  <c r="P38" i="178"/>
  <c r="U28" i="178"/>
  <c r="U38" i="178" s="1"/>
  <c r="T19" i="178"/>
  <c r="M19" i="178"/>
  <c r="T18" i="178"/>
  <c r="M18" i="178"/>
  <c r="T17" i="178"/>
  <c r="Q17" i="178"/>
  <c r="M17" i="178"/>
  <c r="T16" i="178"/>
  <c r="M16" i="178"/>
  <c r="T34" i="178" l="1"/>
  <c r="V38" i="178"/>
  <c r="V28" i="178"/>
  <c r="T33" i="178" l="1"/>
  <c r="T32" i="178" s="1"/>
  <c r="U34" i="178"/>
  <c r="V34" i="178" s="1"/>
  <c r="T32" i="170" l="1"/>
  <c r="T43" i="153"/>
  <c r="T42" i="153"/>
  <c r="T41" i="153"/>
  <c r="T40" i="153"/>
  <c r="T39" i="153"/>
  <c r="T38" i="153"/>
  <c r="T37" i="153"/>
  <c r="T36" i="153"/>
  <c r="T34" i="153" s="1"/>
  <c r="T33" i="153" s="1"/>
  <c r="T32" i="153" s="1"/>
  <c r="T30" i="153" s="1"/>
  <c r="T29" i="153" s="1"/>
  <c r="T28" i="153" s="1"/>
  <c r="T35" i="153"/>
  <c r="P30" i="153"/>
  <c r="P29" i="153" s="1"/>
  <c r="P28" i="153" s="1"/>
  <c r="T55" i="155"/>
  <c r="T54" i="155"/>
  <c r="T53" i="155" s="1"/>
  <c r="T51" i="155"/>
  <c r="T50" i="155"/>
  <c r="T48" i="155"/>
  <c r="T47" i="155" s="1"/>
  <c r="T44" i="155"/>
  <c r="T43" i="155"/>
  <c r="T42" i="155"/>
  <c r="T41" i="155"/>
  <c r="T40" i="155"/>
  <c r="T39" i="155"/>
  <c r="T38" i="155" s="1"/>
  <c r="T35" i="155"/>
  <c r="T34" i="155"/>
  <c r="T33" i="155" s="1"/>
  <c r="T32" i="155" s="1"/>
  <c r="P30" i="155"/>
  <c r="P29" i="155" s="1"/>
  <c r="P28" i="155" s="1"/>
  <c r="Q88" i="177"/>
  <c r="Q87" i="177"/>
  <c r="Q86" i="177"/>
  <c r="Q85" i="177"/>
  <c r="Q84" i="177"/>
  <c r="Q83" i="177"/>
  <c r="N88" i="177"/>
  <c r="N87" i="177"/>
  <c r="N86" i="177"/>
  <c r="N85" i="177"/>
  <c r="N84" i="177"/>
  <c r="N83" i="177"/>
  <c r="Q82" i="177"/>
  <c r="N82" i="177"/>
  <c r="L78" i="177"/>
  <c r="L77" i="177"/>
  <c r="L73" i="177"/>
  <c r="L72" i="177"/>
  <c r="P55" i="177"/>
  <c r="P56" i="177"/>
  <c r="P60" i="177"/>
  <c r="P49" i="177"/>
  <c r="T35" i="160"/>
  <c r="T34" i="160"/>
  <c r="T33" i="160"/>
  <c r="T32" i="160"/>
  <c r="T30" i="160" s="1"/>
  <c r="T29" i="160" s="1"/>
  <c r="T28" i="160" s="1"/>
  <c r="P28" i="160"/>
  <c r="P29" i="160"/>
  <c r="P30" i="160"/>
  <c r="P32" i="160"/>
  <c r="P33" i="160"/>
  <c r="P34" i="160"/>
  <c r="P35" i="160"/>
  <c r="P59" i="164"/>
  <c r="T28" i="163"/>
  <c r="T32" i="163"/>
  <c r="T28" i="162"/>
  <c r="T40" i="161"/>
  <c r="T39" i="161"/>
  <c r="T38" i="161"/>
  <c r="T37" i="161"/>
  <c r="T36" i="161"/>
  <c r="T35" i="161"/>
  <c r="T34" i="161"/>
  <c r="T33" i="161" s="1"/>
  <c r="T32" i="161" s="1"/>
  <c r="T30" i="161" s="1"/>
  <c r="T29" i="161" s="1"/>
  <c r="T28" i="161" s="1"/>
  <c r="P40" i="161"/>
  <c r="P39" i="161"/>
  <c r="P38" i="161"/>
  <c r="P37" i="161"/>
  <c r="P36" i="161"/>
  <c r="P35" i="161"/>
  <c r="T34" i="162"/>
  <c r="T34" i="163"/>
  <c r="P34" i="161" l="1"/>
  <c r="P33" i="161"/>
  <c r="P32" i="161" s="1"/>
  <c r="P30" i="161" s="1"/>
  <c r="P29" i="161" s="1"/>
  <c r="P28" i="161" s="1"/>
  <c r="T46" i="155"/>
  <c r="T37" i="155" s="1"/>
  <c r="T30" i="155" s="1"/>
  <c r="T29" i="155" s="1"/>
  <c r="T28" i="155" s="1"/>
  <c r="M10" i="177"/>
  <c r="M10" i="155" s="1"/>
  <c r="Q76" i="155" l="1"/>
  <c r="N76" i="155"/>
  <c r="Q75" i="155"/>
  <c r="N75" i="155"/>
  <c r="Q74" i="155"/>
  <c r="N74" i="155"/>
  <c r="L86" i="177"/>
  <c r="Q73" i="155"/>
  <c r="N73" i="155"/>
  <c r="Q72" i="155"/>
  <c r="N72" i="155"/>
  <c r="Q71" i="155"/>
  <c r="N71" i="155"/>
  <c r="Q70" i="155"/>
  <c r="N70" i="155"/>
  <c r="L66" i="155"/>
  <c r="L65" i="155"/>
  <c r="L61" i="155"/>
  <c r="L60" i="155"/>
  <c r="T67" i="177"/>
  <c r="P67" i="177"/>
  <c r="T66" i="177"/>
  <c r="P66" i="177"/>
  <c r="T65" i="177"/>
  <c r="P65" i="177"/>
  <c r="T64" i="177"/>
  <c r="P64" i="177"/>
  <c r="T63" i="177"/>
  <c r="P63" i="177"/>
  <c r="T62" i="177"/>
  <c r="P62" i="177"/>
  <c r="T61" i="177"/>
  <c r="T60" i="177" s="1"/>
  <c r="P61" i="177"/>
  <c r="U61" i="177" s="1"/>
  <c r="U59" i="177"/>
  <c r="T58" i="177"/>
  <c r="T57" i="177" s="1"/>
  <c r="P58" i="177"/>
  <c r="U58" i="177" s="1"/>
  <c r="T53" i="177"/>
  <c r="P53" i="177"/>
  <c r="U53" i="177" s="1"/>
  <c r="T52" i="177"/>
  <c r="P52" i="177"/>
  <c r="T51" i="177"/>
  <c r="P51" i="177"/>
  <c r="T50" i="177"/>
  <c r="T49" i="177" s="1"/>
  <c r="P50" i="177"/>
  <c r="U48" i="177"/>
  <c r="U46" i="177"/>
  <c r="T46" i="177"/>
  <c r="P46" i="177"/>
  <c r="T45" i="177"/>
  <c r="P45" i="177"/>
  <c r="T44" i="177"/>
  <c r="P44" i="177"/>
  <c r="T43" i="177"/>
  <c r="P43" i="177"/>
  <c r="U43" i="177" s="1"/>
  <c r="V43" i="177" s="1"/>
  <c r="T42" i="177"/>
  <c r="P42" i="177"/>
  <c r="V42" i="177" s="1"/>
  <c r="V41" i="177"/>
  <c r="T41" i="177"/>
  <c r="P41" i="177"/>
  <c r="T40" i="177"/>
  <c r="P40" i="177"/>
  <c r="V40" i="177" s="1"/>
  <c r="T39" i="177"/>
  <c r="P39" i="177"/>
  <c r="V39" i="177" s="1"/>
  <c r="T37" i="177"/>
  <c r="P37" i="177"/>
  <c r="P36" i="177" s="1"/>
  <c r="T35" i="177"/>
  <c r="T34" i="177" s="1"/>
  <c r="P35" i="177"/>
  <c r="V35" i="177" s="1"/>
  <c r="T19" i="177"/>
  <c r="M19" i="177"/>
  <c r="T18" i="177"/>
  <c r="M18" i="177"/>
  <c r="M17" i="177"/>
  <c r="T16" i="177"/>
  <c r="M16" i="177"/>
  <c r="U49" i="177" l="1"/>
  <c r="U37" i="177"/>
  <c r="T56" i="177"/>
  <c r="T55" i="177" s="1"/>
  <c r="Z23" i="7" s="1"/>
  <c r="U44" i="177"/>
  <c r="V44" i="177" s="1"/>
  <c r="P34" i="177"/>
  <c r="V34" i="177" s="1"/>
  <c r="P57" i="177"/>
  <c r="U57" i="177" s="1"/>
  <c r="T36" i="177"/>
  <c r="U36" i="177" s="1"/>
  <c r="P33" i="177"/>
  <c r="P32" i="177" s="1"/>
  <c r="U23" i="7" l="1"/>
  <c r="P30" i="177"/>
  <c r="P29" i="177" s="1"/>
  <c r="P28" i="177" s="1"/>
  <c r="V33" i="177"/>
  <c r="T33" i="177"/>
  <c r="T32" i="177" s="1"/>
  <c r="T30" i="177" s="1"/>
  <c r="I23" i="7" l="1"/>
  <c r="P69" i="177"/>
  <c r="U56" i="177"/>
  <c r="U55" i="177"/>
  <c r="V23" i="7"/>
  <c r="X23" i="7" s="1"/>
  <c r="T29" i="177"/>
  <c r="T28" i="177" s="1"/>
  <c r="J23" i="7" s="1"/>
  <c r="K23" i="7" s="1"/>
  <c r="N23" i="7" s="1"/>
  <c r="Y23" i="7"/>
  <c r="AB23" i="7" s="1"/>
  <c r="Q17" i="177"/>
  <c r="T69" i="177" l="1"/>
  <c r="U28" i="177"/>
  <c r="U69" i="177" s="1"/>
  <c r="V69" i="177" s="1"/>
  <c r="T17" i="177"/>
  <c r="T35" i="159" l="1"/>
  <c r="T34" i="159" s="1"/>
  <c r="T30" i="159" s="1"/>
  <c r="T29" i="159" s="1"/>
  <c r="T28" i="159" s="1"/>
  <c r="T17" i="159" s="1"/>
  <c r="P35" i="159"/>
  <c r="P34" i="159" s="1"/>
  <c r="P30" i="159" l="1"/>
  <c r="P29" i="159" s="1"/>
  <c r="P28" i="159" s="1"/>
  <c r="Q17" i="159" s="1"/>
  <c r="P33" i="159"/>
  <c r="P32" i="159" s="1"/>
  <c r="V22" i="7" s="1"/>
  <c r="T33" i="159"/>
  <c r="T32" i="159" s="1"/>
  <c r="Z22" i="7" l="1"/>
  <c r="U32" i="159"/>
  <c r="T91" i="149" l="1"/>
  <c r="U91" i="149" s="1"/>
  <c r="T90" i="149"/>
  <c r="U90" i="149" s="1"/>
  <c r="T89" i="149"/>
  <c r="U89" i="149" s="1"/>
  <c r="T88" i="149"/>
  <c r="U88" i="149" s="1"/>
  <c r="T87" i="149"/>
  <c r="T85" i="149"/>
  <c r="T81" i="149"/>
  <c r="Q41" i="149"/>
  <c r="T41" i="149" s="1"/>
  <c r="U41" i="149" s="1"/>
  <c r="Q40" i="149"/>
  <c r="T40" i="149" s="1"/>
  <c r="U40" i="149" s="1"/>
  <c r="Q39" i="149"/>
  <c r="T39" i="149" s="1"/>
  <c r="T35" i="149"/>
  <c r="T38" i="149" l="1"/>
  <c r="T37" i="149" s="1"/>
  <c r="T80" i="149"/>
  <c r="U81" i="149"/>
  <c r="T84" i="149"/>
  <c r="U84" i="149" s="1"/>
  <c r="U85" i="149"/>
  <c r="T86" i="149"/>
  <c r="U86" i="149" s="1"/>
  <c r="U87" i="149"/>
  <c r="T34" i="149"/>
  <c r="T33" i="149" s="1"/>
  <c r="U35" i="149"/>
  <c r="U39" i="149"/>
  <c r="U37" i="149"/>
  <c r="U33" i="149" l="1"/>
  <c r="U34" i="149"/>
  <c r="T83" i="149"/>
  <c r="U83" i="149" s="1"/>
  <c r="T79" i="149"/>
  <c r="U80" i="149"/>
  <c r="T78" i="149" l="1"/>
  <c r="U79" i="149"/>
  <c r="P93" i="149"/>
  <c r="U32" i="149"/>
  <c r="AA51" i="7" l="1"/>
  <c r="U78" i="149"/>
  <c r="U30" i="149" l="1"/>
  <c r="T29" i="149"/>
  <c r="U78" i="171"/>
  <c r="T58" i="171"/>
  <c r="T57" i="171"/>
  <c r="T56" i="171"/>
  <c r="T55" i="171"/>
  <c r="T54" i="171"/>
  <c r="T53" i="171"/>
  <c r="T34" i="171"/>
  <c r="U29" i="149" l="1"/>
  <c r="T28" i="149"/>
  <c r="U28" i="149" s="1"/>
  <c r="T93" i="149"/>
  <c r="U93" i="149" l="1"/>
  <c r="T29" i="171" l="1"/>
  <c r="T28" i="171" s="1"/>
  <c r="T100" i="150"/>
  <c r="U49" i="150"/>
  <c r="T98" i="150"/>
  <c r="T95" i="150"/>
  <c r="T94" i="150"/>
  <c r="T93" i="150"/>
  <c r="T92" i="150"/>
  <c r="T91" i="150"/>
  <c r="U42" i="150"/>
  <c r="U40" i="150"/>
  <c r="U52" i="7"/>
  <c r="T35" i="150"/>
  <c r="T34" i="150"/>
  <c r="T33" i="150" s="1"/>
  <c r="T90" i="150" l="1"/>
  <c r="U81" i="150"/>
  <c r="U75" i="150"/>
  <c r="U101" i="168"/>
  <c r="U83" i="150"/>
  <c r="U92" i="150"/>
  <c r="U94" i="150"/>
  <c r="T97" i="150"/>
  <c r="U98" i="150"/>
  <c r="U103" i="150"/>
  <c r="U105" i="150"/>
  <c r="U107" i="150"/>
  <c r="U109" i="150"/>
  <c r="U114" i="150"/>
  <c r="U39" i="150"/>
  <c r="U90" i="150"/>
  <c r="U80" i="150"/>
  <c r="U82" i="150"/>
  <c r="U41" i="150"/>
  <c r="U84" i="150"/>
  <c r="U91" i="150"/>
  <c r="U93" i="150"/>
  <c r="U95" i="150"/>
  <c r="U104" i="150"/>
  <c r="U106" i="150"/>
  <c r="U110" i="150"/>
  <c r="U97" i="150" l="1"/>
  <c r="T96" i="150"/>
  <c r="U101" i="150"/>
  <c r="U102" i="150"/>
  <c r="U77" i="150"/>
  <c r="U112" i="150"/>
  <c r="U113" i="150"/>
  <c r="U89" i="150"/>
  <c r="T37" i="150"/>
  <c r="U38" i="150"/>
  <c r="X52" i="7" l="1"/>
  <c r="Y52" i="7"/>
  <c r="U37" i="150"/>
  <c r="U82" i="170"/>
  <c r="U81" i="170"/>
  <c r="U80" i="170"/>
  <c r="U78" i="170"/>
  <c r="U77" i="170"/>
  <c r="U76" i="170"/>
  <c r="U43" i="170"/>
  <c r="U40" i="170"/>
  <c r="U39" i="170"/>
  <c r="U38" i="170"/>
  <c r="U37" i="170"/>
  <c r="T29" i="150" l="1"/>
  <c r="T28" i="150" s="1"/>
  <c r="T29" i="168"/>
  <c r="T28" i="168" s="1"/>
  <c r="U30" i="168" l="1"/>
  <c r="U29" i="168" l="1"/>
  <c r="T35" i="170" l="1"/>
  <c r="T34" i="170" s="1"/>
  <c r="T33" i="170" s="1"/>
  <c r="U85" i="170" l="1"/>
  <c r="U84" i="170" l="1"/>
  <c r="U69" i="174"/>
  <c r="U66" i="174"/>
  <c r="U65" i="174"/>
  <c r="U64" i="174"/>
  <c r="U63" i="174"/>
  <c r="U62" i="174"/>
  <c r="U61" i="174"/>
  <c r="U60" i="174"/>
  <c r="U56" i="174"/>
  <c r="U55" i="174"/>
  <c r="U47" i="174"/>
  <c r="U46" i="174"/>
  <c r="Y35" i="7" l="1"/>
  <c r="U35" i="7"/>
  <c r="U45" i="174"/>
  <c r="T49" i="162"/>
  <c r="T48" i="162"/>
  <c r="T46" i="162"/>
  <c r="T45" i="162"/>
  <c r="T43" i="162"/>
  <c r="T41" i="162"/>
  <c r="T39" i="162"/>
  <c r="T37" i="162"/>
  <c r="T33" i="162" s="1"/>
  <c r="T32" i="162" s="1"/>
  <c r="T30" i="162" s="1"/>
  <c r="T36" i="162"/>
  <c r="P49" i="162"/>
  <c r="P48" i="162" s="1"/>
  <c r="P46" i="162"/>
  <c r="P45" i="162"/>
  <c r="P43" i="162"/>
  <c r="P41" i="162"/>
  <c r="P39" i="162"/>
  <c r="P37" i="162"/>
  <c r="P36" i="162"/>
  <c r="T72" i="163"/>
  <c r="T71" i="163"/>
  <c r="T70" i="163"/>
  <c r="T69" i="163"/>
  <c r="T68" i="163"/>
  <c r="T67" i="163"/>
  <c r="T66" i="163"/>
  <c r="T65" i="163"/>
  <c r="T64" i="163"/>
  <c r="T63" i="163"/>
  <c r="T62" i="163"/>
  <c r="T61" i="163"/>
  <c r="T60" i="163"/>
  <c r="T59" i="163"/>
  <c r="T58" i="163"/>
  <c r="T57" i="163"/>
  <c r="T56" i="163"/>
  <c r="T55" i="163"/>
  <c r="T54" i="163"/>
  <c r="T53" i="163"/>
  <c r="T52" i="163"/>
  <c r="T51" i="163"/>
  <c r="T50" i="163"/>
  <c r="T49" i="163"/>
  <c r="T48" i="163"/>
  <c r="T47" i="163"/>
  <c r="T46" i="163"/>
  <c r="T45" i="163"/>
  <c r="T44" i="163"/>
  <c r="T43" i="163"/>
  <c r="T42" i="163"/>
  <c r="T41" i="163"/>
  <c r="T40" i="163"/>
  <c r="T39" i="163"/>
  <c r="T38" i="163"/>
  <c r="T37" i="163"/>
  <c r="T33" i="163" s="1"/>
  <c r="T30" i="163" s="1"/>
  <c r="T36" i="163"/>
  <c r="T35" i="163"/>
  <c r="P72" i="163"/>
  <c r="P71" i="163"/>
  <c r="P70" i="163"/>
  <c r="P69" i="163"/>
  <c r="P68" i="163"/>
  <c r="P67" i="163"/>
  <c r="P66" i="163"/>
  <c r="P65" i="163"/>
  <c r="P64" i="163"/>
  <c r="P63" i="163"/>
  <c r="P62" i="163"/>
  <c r="P61" i="163"/>
  <c r="P60" i="163"/>
  <c r="P59" i="163"/>
  <c r="P58" i="163"/>
  <c r="P57" i="163"/>
  <c r="P56" i="163"/>
  <c r="P55" i="163"/>
  <c r="P54" i="163"/>
  <c r="P53" i="163"/>
  <c r="P52" i="163"/>
  <c r="P51" i="163"/>
  <c r="P50" i="163"/>
  <c r="P49" i="163"/>
  <c r="P48" i="163"/>
  <c r="P47" i="163"/>
  <c r="P46" i="163"/>
  <c r="P45" i="163"/>
  <c r="P44" i="163"/>
  <c r="P43" i="163"/>
  <c r="P42" i="163"/>
  <c r="P41" i="163"/>
  <c r="P40" i="163"/>
  <c r="P39" i="163"/>
  <c r="P38" i="163"/>
  <c r="P37" i="163"/>
  <c r="P36" i="163"/>
  <c r="P35" i="163"/>
  <c r="T60" i="164"/>
  <c r="T59" i="164" s="1"/>
  <c r="T58" i="164" s="1"/>
  <c r="T56" i="164"/>
  <c r="T55" i="164"/>
  <c r="T54" i="164"/>
  <c r="T53" i="164"/>
  <c r="T52" i="164"/>
  <c r="T51" i="164"/>
  <c r="T50" i="164"/>
  <c r="T49" i="164"/>
  <c r="T48" i="164"/>
  <c r="T47" i="164"/>
  <c r="T46" i="164"/>
  <c r="T45" i="164"/>
  <c r="T44" i="164"/>
  <c r="T43" i="164"/>
  <c r="T42" i="164"/>
  <c r="T41" i="164"/>
  <c r="T40" i="164"/>
  <c r="T39" i="164"/>
  <c r="T38" i="164"/>
  <c r="T37" i="164"/>
  <c r="T36" i="164"/>
  <c r="T34" i="164" s="1"/>
  <c r="T33" i="164" s="1"/>
  <c r="T32" i="164" s="1"/>
  <c r="T30" i="164" s="1"/>
  <c r="T29" i="164" s="1"/>
  <c r="T28" i="164" s="1"/>
  <c r="T35" i="164"/>
  <c r="P60" i="164"/>
  <c r="P58" i="164" s="1"/>
  <c r="P56" i="164"/>
  <c r="P55" i="164"/>
  <c r="P54" i="164"/>
  <c r="P53" i="164"/>
  <c r="P52" i="164"/>
  <c r="P51" i="164"/>
  <c r="P50" i="164"/>
  <c r="P49" i="164"/>
  <c r="P48" i="164"/>
  <c r="P47" i="164"/>
  <c r="P46" i="164"/>
  <c r="P45" i="164"/>
  <c r="P44" i="164"/>
  <c r="P43" i="164"/>
  <c r="P42" i="164"/>
  <c r="P41" i="164"/>
  <c r="P40" i="164"/>
  <c r="P39" i="164"/>
  <c r="P38" i="164"/>
  <c r="P37" i="164"/>
  <c r="P36" i="164"/>
  <c r="P35" i="164"/>
  <c r="T41" i="165"/>
  <c r="T40" i="165"/>
  <c r="T39" i="165"/>
  <c r="T38" i="165"/>
  <c r="T37" i="165"/>
  <c r="T36" i="165"/>
  <c r="T33" i="165" s="1"/>
  <c r="T35" i="165"/>
  <c r="T34" i="165"/>
  <c r="P41" i="165"/>
  <c r="P40" i="165"/>
  <c r="P39" i="165"/>
  <c r="P38" i="165"/>
  <c r="P37" i="165"/>
  <c r="P36" i="165" s="1"/>
  <c r="P33" i="165" s="1"/>
  <c r="P35" i="165"/>
  <c r="P34" i="165"/>
  <c r="T48" i="167"/>
  <c r="T47" i="167"/>
  <c r="T46" i="167" s="1"/>
  <c r="T43" i="167"/>
  <c r="T42" i="167" s="1"/>
  <c r="T39" i="167"/>
  <c r="T37" i="167"/>
  <c r="T35" i="167"/>
  <c r="T33" i="167"/>
  <c r="T31" i="167"/>
  <c r="T29" i="167"/>
  <c r="T27" i="167"/>
  <c r="T25" i="167"/>
  <c r="T23" i="167"/>
  <c r="T21" i="167"/>
  <c r="T20" i="167" s="1"/>
  <c r="P33" i="162" l="1"/>
  <c r="P32" i="162" s="1"/>
  <c r="P30" i="162" s="1"/>
  <c r="P29" i="162" s="1"/>
  <c r="P28" i="162" s="1"/>
  <c r="P34" i="163"/>
  <c r="P33" i="163" s="1"/>
  <c r="P32" i="163" s="1"/>
  <c r="P30" i="163" s="1"/>
  <c r="P34" i="164"/>
  <c r="P33" i="164" s="1"/>
  <c r="P32" i="164" s="1"/>
  <c r="P32" i="165"/>
  <c r="P30" i="165" s="1"/>
  <c r="P29" i="165" s="1"/>
  <c r="P28" i="165" s="1"/>
  <c r="T41" i="167"/>
  <c r="T32" i="165"/>
  <c r="T30" i="165" s="1"/>
  <c r="T29" i="165" s="1"/>
  <c r="T28" i="165" s="1"/>
  <c r="T29" i="170"/>
  <c r="T28" i="170" s="1"/>
  <c r="U30" i="170"/>
  <c r="T29" i="162"/>
  <c r="T29" i="163"/>
  <c r="T19" i="167"/>
  <c r="T17" i="167" s="1"/>
  <c r="T16" i="167" s="1"/>
  <c r="P29" i="163" l="1"/>
  <c r="P28" i="163" s="1"/>
  <c r="P30" i="164"/>
  <c r="P29" i="164" s="1"/>
  <c r="P28" i="164" s="1"/>
  <c r="U71" i="174"/>
  <c r="P48" i="167"/>
  <c r="I35" i="7" l="1"/>
  <c r="I36" i="7" s="1"/>
  <c r="Q17" i="174"/>
  <c r="U50" i="174"/>
  <c r="T17" i="174" l="1"/>
  <c r="J35" i="7"/>
  <c r="J36" i="7" s="1"/>
  <c r="X61" i="164"/>
  <c r="U47" i="155" l="1"/>
  <c r="Q76" i="175" l="1"/>
  <c r="T76" i="175" s="1"/>
  <c r="Q75" i="175"/>
  <c r="T75" i="175" s="1"/>
  <c r="T71" i="175"/>
  <c r="T70" i="175"/>
  <c r="T68" i="175"/>
  <c r="T67" i="175"/>
  <c r="T66" i="175" s="1"/>
  <c r="T65" i="175" s="1"/>
  <c r="Q63" i="175"/>
  <c r="T63" i="175" s="1"/>
  <c r="Q62" i="175"/>
  <c r="T62" i="175" s="1"/>
  <c r="Q61" i="175"/>
  <c r="T61" i="175" s="1"/>
  <c r="T57" i="175"/>
  <c r="T56" i="175"/>
  <c r="T55" i="175"/>
  <c r="T54" i="175"/>
  <c r="T49" i="175"/>
  <c r="T48" i="175"/>
  <c r="T47" i="175"/>
  <c r="T46" i="175"/>
  <c r="T45" i="175"/>
  <c r="T44" i="175" s="1"/>
  <c r="Q42" i="175"/>
  <c r="T42" i="175" s="1"/>
  <c r="Q41" i="175"/>
  <c r="T41" i="175" s="1"/>
  <c r="Q40" i="175"/>
  <c r="T40" i="175" s="1"/>
  <c r="T39" i="175"/>
  <c r="Q39" i="175"/>
  <c r="T35" i="175"/>
  <c r="T34" i="175" s="1"/>
  <c r="M76" i="175"/>
  <c r="P76" i="175" s="1"/>
  <c r="M75" i="175"/>
  <c r="P75" i="175" s="1"/>
  <c r="P71" i="175"/>
  <c r="P70" i="175"/>
  <c r="P68" i="175"/>
  <c r="P67" i="175"/>
  <c r="M63" i="175"/>
  <c r="P63" i="175" s="1"/>
  <c r="M62" i="175"/>
  <c r="P62" i="175" s="1"/>
  <c r="M61" i="175"/>
  <c r="P61" i="175" s="1"/>
  <c r="P57" i="175"/>
  <c r="P56" i="175"/>
  <c r="P55" i="175"/>
  <c r="P54" i="175"/>
  <c r="P53" i="175" s="1"/>
  <c r="P52" i="175" s="1"/>
  <c r="P49" i="175"/>
  <c r="P48" i="175"/>
  <c r="P47" i="175"/>
  <c r="P46" i="175"/>
  <c r="P42" i="175"/>
  <c r="M42" i="175"/>
  <c r="M41" i="175"/>
  <c r="P41" i="175" s="1"/>
  <c r="P40" i="175"/>
  <c r="M40" i="175"/>
  <c r="M39" i="175"/>
  <c r="P39" i="175" s="1"/>
  <c r="P35" i="175"/>
  <c r="P34" i="175" s="1"/>
  <c r="L95" i="175"/>
  <c r="U58" i="175"/>
  <c r="U57" i="175"/>
  <c r="U48" i="175"/>
  <c r="V48" i="175" s="1"/>
  <c r="M17" i="175"/>
  <c r="P38" i="175" l="1"/>
  <c r="P37" i="175" s="1"/>
  <c r="T53" i="175"/>
  <c r="T52" i="175" s="1"/>
  <c r="T51" i="175" s="1"/>
  <c r="U49" i="175"/>
  <c r="V49" i="175" s="1"/>
  <c r="P66" i="175"/>
  <c r="P65" i="175" s="1"/>
  <c r="P74" i="175"/>
  <c r="P73" i="175" s="1"/>
  <c r="T38" i="175"/>
  <c r="T37" i="175" s="1"/>
  <c r="T33" i="175" s="1"/>
  <c r="T32" i="175" s="1"/>
  <c r="T30" i="175" s="1"/>
  <c r="T29" i="175" s="1"/>
  <c r="T28" i="175" s="1"/>
  <c r="U42" i="175"/>
  <c r="T60" i="175"/>
  <c r="T59" i="175" s="1"/>
  <c r="T74" i="175"/>
  <c r="T73" i="175" s="1"/>
  <c r="U54" i="175"/>
  <c r="P33" i="175"/>
  <c r="P60" i="175"/>
  <c r="P59" i="175" s="1"/>
  <c r="U59" i="175" s="1"/>
  <c r="P45" i="175"/>
  <c r="U68" i="175"/>
  <c r="U67" i="175"/>
  <c r="U40" i="175"/>
  <c r="V40" i="175" s="1"/>
  <c r="U39" i="175"/>
  <c r="V39" i="175" s="1"/>
  <c r="U36" i="175"/>
  <c r="U76" i="175"/>
  <c r="U43" i="175"/>
  <c r="U37" i="175" l="1"/>
  <c r="P51" i="175"/>
  <c r="P44" i="175"/>
  <c r="U44" i="175" s="1"/>
  <c r="U45" i="175"/>
  <c r="T17" i="175"/>
  <c r="T78" i="175"/>
  <c r="U53" i="175"/>
  <c r="U35" i="175"/>
  <c r="V35" i="175" s="1"/>
  <c r="P32" i="175" l="1"/>
  <c r="P30" i="175" s="1"/>
  <c r="P29" i="175" s="1"/>
  <c r="P28" i="175" s="1"/>
  <c r="U34" i="175"/>
  <c r="U52" i="175"/>
  <c r="U51" i="175"/>
  <c r="Y27" i="7" l="1"/>
  <c r="U27" i="7"/>
  <c r="U32" i="175" l="1"/>
  <c r="U53" i="155"/>
  <c r="J27" i="7" l="1"/>
  <c r="U30" i="175"/>
  <c r="P78" i="175" l="1"/>
  <c r="U28" i="175"/>
  <c r="U78" i="175" s="1"/>
  <c r="V78" i="175" s="1"/>
  <c r="Q17" i="175"/>
  <c r="B5" i="167" l="1"/>
  <c r="U50" i="155" l="1"/>
  <c r="T19" i="153" l="1"/>
  <c r="T18" i="153"/>
  <c r="T16" i="153"/>
  <c r="T19" i="155" l="1"/>
  <c r="T18" i="155"/>
  <c r="T16" i="155"/>
  <c r="T19" i="159" l="1"/>
  <c r="T18" i="159"/>
  <c r="T16" i="159"/>
  <c r="T19" i="160"/>
  <c r="T18" i="160"/>
  <c r="T16" i="160"/>
  <c r="T19" i="161"/>
  <c r="T18" i="161"/>
  <c r="T16" i="161"/>
  <c r="T18" i="162"/>
  <c r="T19" i="162"/>
  <c r="T16" i="162"/>
  <c r="T18" i="163"/>
  <c r="T19" i="163"/>
  <c r="T16" i="163"/>
  <c r="T19" i="164"/>
  <c r="T16" i="164"/>
  <c r="M19" i="165"/>
  <c r="M17" i="168" l="1"/>
  <c r="M17" i="149"/>
  <c r="M17" i="150"/>
  <c r="M17" i="151"/>
  <c r="U40" i="171" l="1"/>
  <c r="Y39" i="7"/>
  <c r="AB52" i="7" l="1"/>
  <c r="U94" i="171"/>
  <c r="Y51" i="7"/>
  <c r="U51" i="7"/>
  <c r="U37" i="171"/>
  <c r="AB39" i="7"/>
  <c r="T104" i="170" l="1"/>
  <c r="J39" i="7"/>
  <c r="U41" i="7"/>
  <c r="Y41" i="7"/>
  <c r="J52" i="7"/>
  <c r="I51" i="7"/>
  <c r="X51" i="7"/>
  <c r="J51" i="7"/>
  <c r="AB51" i="7"/>
  <c r="AB50" i="7"/>
  <c r="J50" i="7"/>
  <c r="I52" i="7"/>
  <c r="AB53" i="7" l="1"/>
  <c r="J53" i="7"/>
  <c r="T166" i="171"/>
  <c r="J41" i="7"/>
  <c r="X41" i="7"/>
  <c r="U50" i="171"/>
  <c r="I41" i="7"/>
  <c r="AB41" i="7"/>
  <c r="X50" i="7"/>
  <c r="X53" i="7" s="1"/>
  <c r="U28" i="168" l="1"/>
  <c r="I50" i="7"/>
  <c r="I53" i="7" s="1"/>
  <c r="AC53" i="7"/>
  <c r="U34" i="170" l="1"/>
  <c r="U35" i="170"/>
  <c r="U33" i="170" l="1"/>
  <c r="V33" i="170" s="1"/>
  <c r="U32" i="170" l="1"/>
  <c r="U39" i="7"/>
  <c r="U29" i="170"/>
  <c r="X39" i="7" l="1"/>
  <c r="U53" i="7"/>
  <c r="P104" i="170"/>
  <c r="I39" i="7"/>
  <c r="K39" i="7" s="1"/>
  <c r="N39" i="7" s="1"/>
  <c r="U28" i="170"/>
  <c r="U104" i="170" s="1"/>
  <c r="M17" i="170"/>
  <c r="V104" i="170" l="1"/>
  <c r="U68" i="174"/>
  <c r="U67" i="174" l="1"/>
  <c r="M17" i="174" l="1"/>
  <c r="M19" i="153"/>
  <c r="M18" i="153"/>
  <c r="M17" i="153"/>
  <c r="M16" i="153"/>
  <c r="M19" i="155" l="1"/>
  <c r="M18" i="155"/>
  <c r="M17" i="155"/>
  <c r="M16" i="155"/>
  <c r="U43" i="155" l="1"/>
  <c r="M19" i="159" l="1"/>
  <c r="M18" i="159"/>
  <c r="M17" i="159"/>
  <c r="M16" i="159"/>
  <c r="M19" i="160"/>
  <c r="M18" i="160"/>
  <c r="M17" i="160"/>
  <c r="M16" i="160"/>
  <c r="M19" i="161"/>
  <c r="M18" i="161"/>
  <c r="M17" i="161"/>
  <c r="M16" i="161"/>
  <c r="M19" i="162"/>
  <c r="M18" i="162"/>
  <c r="M17" i="162"/>
  <c r="M16" i="162"/>
  <c r="M19" i="163"/>
  <c r="M18" i="163"/>
  <c r="M17" i="163"/>
  <c r="M16" i="163"/>
  <c r="M19" i="164"/>
  <c r="M18" i="164"/>
  <c r="M17" i="164"/>
  <c r="M16" i="164"/>
  <c r="M18" i="165" l="1"/>
  <c r="M16" i="165"/>
  <c r="M17" i="165"/>
  <c r="P35" i="167"/>
  <c r="L90" i="174"/>
  <c r="U54" i="174"/>
  <c r="U44" i="174"/>
  <c r="U43" i="174"/>
  <c r="AB35" i="7" l="1"/>
  <c r="AB36" i="7" s="1"/>
  <c r="U37" i="174"/>
  <c r="U42" i="174"/>
  <c r="U59" i="174"/>
  <c r="L183" i="171"/>
  <c r="U56" i="171"/>
  <c r="U43" i="171"/>
  <c r="U42" i="171"/>
  <c r="U41" i="171"/>
  <c r="L121" i="170"/>
  <c r="T73" i="174" l="1"/>
  <c r="U39" i="174"/>
  <c r="V39" i="174" s="1"/>
  <c r="U40" i="174"/>
  <c r="V40" i="174" s="1"/>
  <c r="U57" i="174"/>
  <c r="U58" i="174"/>
  <c r="U48" i="174"/>
  <c r="V48" i="174" s="1"/>
  <c r="U53" i="174"/>
  <c r="U36" i="174"/>
  <c r="U44" i="171"/>
  <c r="U38" i="171"/>
  <c r="V38" i="171" s="1"/>
  <c r="U39" i="171"/>
  <c r="V39" i="171" s="1"/>
  <c r="M10" i="159"/>
  <c r="M10" i="153" s="1"/>
  <c r="M10" i="160"/>
  <c r="M10" i="161"/>
  <c r="M10" i="162"/>
  <c r="M10" i="163"/>
  <c r="M10" i="164"/>
  <c r="Q56" i="165"/>
  <c r="Q50" i="159" s="1"/>
  <c r="Q59" i="153" s="1"/>
  <c r="Q57" i="165"/>
  <c r="Q51" i="160" s="1"/>
  <c r="Q58" i="165"/>
  <c r="Q57" i="161" s="1"/>
  <c r="Q59" i="165"/>
  <c r="Q60" i="165"/>
  <c r="Q54" i="159" s="1"/>
  <c r="Q63" i="153" s="1"/>
  <c r="Q61" i="165"/>
  <c r="Q55" i="160" s="1"/>
  <c r="Q62" i="165"/>
  <c r="Q61" i="161" s="1"/>
  <c r="N62" i="165"/>
  <c r="N61" i="165"/>
  <c r="N60" i="161" s="1"/>
  <c r="N60" i="165"/>
  <c r="N54" i="160" s="1"/>
  <c r="N59" i="165"/>
  <c r="N53" i="159" s="1"/>
  <c r="N62" i="153" s="1"/>
  <c r="N58" i="165"/>
  <c r="N57" i="165"/>
  <c r="N56" i="161" s="1"/>
  <c r="N56" i="165"/>
  <c r="N50" i="160" s="1"/>
  <c r="L52" i="165"/>
  <c r="L46" i="159" s="1"/>
  <c r="L55" i="153" s="1"/>
  <c r="L51" i="165"/>
  <c r="L47" i="165"/>
  <c r="L46" i="161" s="1"/>
  <c r="L46" i="165"/>
  <c r="L40" i="160" s="1"/>
  <c r="B5" i="165"/>
  <c r="S55" i="167"/>
  <c r="S47" i="165" s="1"/>
  <c r="S54" i="167"/>
  <c r="S46" i="165" s="1"/>
  <c r="S53" i="167"/>
  <c r="S45" i="165" s="1"/>
  <c r="S60" i="167"/>
  <c r="S52" i="165" s="1"/>
  <c r="S59" i="167"/>
  <c r="S51" i="165" s="1"/>
  <c r="Q90" i="174" l="1"/>
  <c r="Q121" i="170" s="1"/>
  <c r="Q157" i="151" s="1"/>
  <c r="Q55" i="178"/>
  <c r="Q86" i="174"/>
  <c r="Q117" i="170" s="1"/>
  <c r="Q153" i="151" s="1"/>
  <c r="Q51" i="178"/>
  <c r="L82" i="174"/>
  <c r="L113" i="170" s="1"/>
  <c r="L149" i="151" s="1"/>
  <c r="L47" i="178"/>
  <c r="N89" i="174"/>
  <c r="N120" i="170" s="1"/>
  <c r="N156" i="151" s="1"/>
  <c r="N54" i="178"/>
  <c r="M10" i="174"/>
  <c r="M10" i="170" s="1"/>
  <c r="M10" i="151" s="1"/>
  <c r="M10" i="178"/>
  <c r="B5" i="161"/>
  <c r="B5" i="162"/>
  <c r="Q51" i="159"/>
  <c r="Q60" i="153" s="1"/>
  <c r="Q88" i="163"/>
  <c r="N76" i="164"/>
  <c r="N51" i="160"/>
  <c r="Q77" i="164"/>
  <c r="Q68" i="162"/>
  <c r="N87" i="163"/>
  <c r="L66" i="164"/>
  <c r="Q81" i="164"/>
  <c r="N91" i="163"/>
  <c r="L60" i="162"/>
  <c r="N55" i="160"/>
  <c r="L40" i="159"/>
  <c r="L49" i="153" s="1"/>
  <c r="Q55" i="159"/>
  <c r="Q64" i="153" s="1"/>
  <c r="N67" i="162"/>
  <c r="Q52" i="160"/>
  <c r="N50" i="159"/>
  <c r="N59" i="153" s="1"/>
  <c r="N80" i="164"/>
  <c r="L77" i="163"/>
  <c r="Q92" i="163"/>
  <c r="Q64" i="162"/>
  <c r="L41" i="160"/>
  <c r="Q56" i="160"/>
  <c r="N54" i="159"/>
  <c r="N63" i="153" s="1"/>
  <c r="S39" i="159"/>
  <c r="S71" i="177" s="1"/>
  <c r="S59" i="155" s="1"/>
  <c r="S76" i="163"/>
  <c r="S64" i="164"/>
  <c r="S53" i="162"/>
  <c r="S39" i="160"/>
  <c r="S44" i="161"/>
  <c r="S40" i="160"/>
  <c r="S45" i="161"/>
  <c r="S65" i="164"/>
  <c r="S40" i="159"/>
  <c r="S54" i="162"/>
  <c r="S77" i="163"/>
  <c r="S46" i="161"/>
  <c r="S55" i="162"/>
  <c r="S41" i="160"/>
  <c r="S41" i="159"/>
  <c r="S78" i="163"/>
  <c r="S66" i="164"/>
  <c r="S46" i="159"/>
  <c r="S83" i="163"/>
  <c r="S60" i="162"/>
  <c r="S46" i="160"/>
  <c r="S71" i="164"/>
  <c r="S51" i="161"/>
  <c r="B5" i="164"/>
  <c r="N57" i="161"/>
  <c r="S70" i="164"/>
  <c r="L70" i="164"/>
  <c r="N77" i="164"/>
  <c r="N81" i="164"/>
  <c r="Q78" i="164"/>
  <c r="B5" i="163"/>
  <c r="L78" i="163"/>
  <c r="N88" i="163"/>
  <c r="N92" i="163"/>
  <c r="Q89" i="163"/>
  <c r="Q93" i="163"/>
  <c r="L54" i="162"/>
  <c r="N64" i="162"/>
  <c r="N68" i="162"/>
  <c r="Q65" i="162"/>
  <c r="Q69" i="162"/>
  <c r="L51" i="161"/>
  <c r="N58" i="161"/>
  <c r="Q55" i="161"/>
  <c r="Q59" i="161"/>
  <c r="S45" i="160"/>
  <c r="L45" i="160"/>
  <c r="N52" i="160"/>
  <c r="N56" i="160"/>
  <c r="Q53" i="160"/>
  <c r="B5" i="159"/>
  <c r="L41" i="159"/>
  <c r="L50" i="153" s="1"/>
  <c r="N51" i="159"/>
  <c r="N60" i="153" s="1"/>
  <c r="N55" i="159"/>
  <c r="N64" i="153" s="1"/>
  <c r="Q52" i="159"/>
  <c r="Q61" i="153" s="1"/>
  <c r="Q56" i="159"/>
  <c r="Q65" i="153" s="1"/>
  <c r="L50" i="161"/>
  <c r="Q58" i="161"/>
  <c r="L71" i="164"/>
  <c r="N78" i="164"/>
  <c r="Q75" i="164"/>
  <c r="Q79" i="164"/>
  <c r="S82" i="163"/>
  <c r="L82" i="163"/>
  <c r="N89" i="163"/>
  <c r="N93" i="163"/>
  <c r="Q90" i="163"/>
  <c r="L55" i="162"/>
  <c r="N65" i="162"/>
  <c r="N69" i="162"/>
  <c r="Q66" i="162"/>
  <c r="Q70" i="162"/>
  <c r="L45" i="161"/>
  <c r="N55" i="161"/>
  <c r="N59" i="161"/>
  <c r="Q56" i="161"/>
  <c r="Q60" i="161"/>
  <c r="L46" i="160"/>
  <c r="N53" i="160"/>
  <c r="Q50" i="160"/>
  <c r="Q54" i="160"/>
  <c r="S45" i="159"/>
  <c r="L45" i="159"/>
  <c r="L54" i="153" s="1"/>
  <c r="N52" i="159"/>
  <c r="N61" i="153" s="1"/>
  <c r="N56" i="159"/>
  <c r="N65" i="153" s="1"/>
  <c r="Q53" i="159"/>
  <c r="Q62" i="153" s="1"/>
  <c r="S50" i="161"/>
  <c r="N61" i="161"/>
  <c r="B5" i="160"/>
  <c r="L65" i="164"/>
  <c r="N75" i="164"/>
  <c r="N79" i="164"/>
  <c r="Q76" i="164"/>
  <c r="Q80" i="164"/>
  <c r="L83" i="163"/>
  <c r="N90" i="163"/>
  <c r="Q87" i="163"/>
  <c r="Q91" i="163"/>
  <c r="S59" i="162"/>
  <c r="L59" i="162"/>
  <c r="N66" i="162"/>
  <c r="N70" i="162"/>
  <c r="Q67" i="162"/>
  <c r="U51" i="174"/>
  <c r="U52" i="174"/>
  <c r="T17" i="171"/>
  <c r="U54" i="171"/>
  <c r="U47" i="171"/>
  <c r="V47" i="171" s="1"/>
  <c r="U46" i="171"/>
  <c r="V46" i="171" s="1"/>
  <c r="U35" i="171"/>
  <c r="S48" i="153" l="1"/>
  <c r="S80" i="181" s="1"/>
  <c r="S50" i="179"/>
  <c r="L81" i="174"/>
  <c r="L112" i="170" s="1"/>
  <c r="L148" i="151" s="1"/>
  <c r="L86" i="175" s="1"/>
  <c r="L46" i="178"/>
  <c r="N90" i="174"/>
  <c r="N121" i="170" s="1"/>
  <c r="N157" i="151" s="1"/>
  <c r="N55" i="178"/>
  <c r="N92" i="174"/>
  <c r="N123" i="170" s="1"/>
  <c r="N159" i="151" s="1"/>
  <c r="N185" i="171" s="1"/>
  <c r="N123" i="168" s="1"/>
  <c r="N57" i="178"/>
  <c r="N87" i="174"/>
  <c r="N118" i="170" s="1"/>
  <c r="N154" i="151" s="1"/>
  <c r="N52" i="178"/>
  <c r="Q91" i="174"/>
  <c r="Q122" i="170" s="1"/>
  <c r="Q158" i="151" s="1"/>
  <c r="Q56" i="178"/>
  <c r="Q88" i="174"/>
  <c r="Q119" i="170" s="1"/>
  <c r="Q155" i="151" s="1"/>
  <c r="Q53" i="178"/>
  <c r="Q89" i="174"/>
  <c r="Q120" i="170" s="1"/>
  <c r="Q156" i="151" s="1"/>
  <c r="Q94" i="175" s="1"/>
  <c r="Q54" i="178"/>
  <c r="N91" i="174"/>
  <c r="N122" i="170" s="1"/>
  <c r="N158" i="151" s="1"/>
  <c r="N56" i="178"/>
  <c r="N88" i="174"/>
  <c r="N119" i="170" s="1"/>
  <c r="N155" i="151" s="1"/>
  <c r="N93" i="175" s="1"/>
  <c r="N53" i="178"/>
  <c r="Q92" i="174"/>
  <c r="Q123" i="170" s="1"/>
  <c r="Q159" i="151" s="1"/>
  <c r="Q57" i="178"/>
  <c r="L77" i="174"/>
  <c r="L108" i="170" s="1"/>
  <c r="L144" i="151" s="1"/>
  <c r="L42" i="178"/>
  <c r="N86" i="174"/>
  <c r="N117" i="170" s="1"/>
  <c r="N153" i="151" s="1"/>
  <c r="N51" i="178"/>
  <c r="L76" i="174"/>
  <c r="L107" i="170" s="1"/>
  <c r="L143" i="151" s="1"/>
  <c r="L41" i="178"/>
  <c r="Q87" i="174"/>
  <c r="Q118" i="170" s="1"/>
  <c r="Q154" i="151" s="1"/>
  <c r="Q52" i="178"/>
  <c r="S77" i="177"/>
  <c r="S65" i="155" s="1"/>
  <c r="S78" i="177"/>
  <c r="S66" i="155" s="1"/>
  <c r="S72" i="177"/>
  <c r="S60" i="155" s="1"/>
  <c r="S75" i="174"/>
  <c r="S40" i="178"/>
  <c r="B5" i="177"/>
  <c r="B5" i="155" s="1"/>
  <c r="S73" i="177"/>
  <c r="S61" i="155" s="1"/>
  <c r="M10" i="175"/>
  <c r="Q91" i="175"/>
  <c r="X35" i="7"/>
  <c r="X36" i="7" s="1"/>
  <c r="U35" i="174"/>
  <c r="V35" i="174" s="1"/>
  <c r="M10" i="171"/>
  <c r="M10" i="168" s="1"/>
  <c r="Q179" i="171"/>
  <c r="Q117" i="168" s="1"/>
  <c r="U34" i="174"/>
  <c r="U34" i="171"/>
  <c r="V34" i="171" s="1"/>
  <c r="U52" i="171"/>
  <c r="U53" i="171"/>
  <c r="T17" i="170"/>
  <c r="AC36" i="7" l="1"/>
  <c r="S55" i="153"/>
  <c r="S87" i="181" s="1"/>
  <c r="S57" i="179"/>
  <c r="S54" i="153"/>
  <c r="S86" i="181" s="1"/>
  <c r="S56" i="179"/>
  <c r="S106" i="170"/>
  <c r="S142" i="151" s="1"/>
  <c r="S80" i="175" s="1"/>
  <c r="S66" i="182"/>
  <c r="B5" i="153"/>
  <c r="B5" i="181" s="1"/>
  <c r="B5" i="179"/>
  <c r="S50" i="153"/>
  <c r="S82" i="181" s="1"/>
  <c r="S52" i="179"/>
  <c r="S49" i="153"/>
  <c r="S81" i="181" s="1"/>
  <c r="S51" i="179"/>
  <c r="Q182" i="171"/>
  <c r="Q120" i="168" s="1"/>
  <c r="N97" i="175"/>
  <c r="L174" i="171"/>
  <c r="L112" i="168" s="1"/>
  <c r="L124" i="150" s="1"/>
  <c r="N181" i="171"/>
  <c r="N119" i="168" s="1"/>
  <c r="N131" i="150" s="1"/>
  <c r="S82" i="174"/>
  <c r="S47" i="178"/>
  <c r="N96" i="175"/>
  <c r="Q93" i="175"/>
  <c r="Q97" i="175"/>
  <c r="N95" i="175"/>
  <c r="Q96" i="175"/>
  <c r="Q92" i="175"/>
  <c r="N92" i="175"/>
  <c r="N91" i="175"/>
  <c r="L82" i="175"/>
  <c r="Q95" i="175"/>
  <c r="N182" i="171"/>
  <c r="N120" i="168" s="1"/>
  <c r="N109" i="149" s="1"/>
  <c r="N94" i="175"/>
  <c r="L87" i="175"/>
  <c r="L81" i="175"/>
  <c r="Q183" i="171"/>
  <c r="Q121" i="168" s="1"/>
  <c r="Q110" i="149" s="1"/>
  <c r="M10" i="150"/>
  <c r="M10" i="149"/>
  <c r="L175" i="171"/>
  <c r="L113" i="168" s="1"/>
  <c r="L102" i="149" s="1"/>
  <c r="L169" i="171"/>
  <c r="L107" i="168" s="1"/>
  <c r="N180" i="171"/>
  <c r="N118" i="168" s="1"/>
  <c r="N183" i="171"/>
  <c r="N121" i="168" s="1"/>
  <c r="N112" i="149"/>
  <c r="N135" i="150"/>
  <c r="Q106" i="149"/>
  <c r="Q129" i="150"/>
  <c r="Q109" i="149"/>
  <c r="Q132" i="150"/>
  <c r="N179" i="171"/>
  <c r="N117" i="168" s="1"/>
  <c r="Q185" i="171"/>
  <c r="Q123" i="168" s="1"/>
  <c r="Q184" i="171"/>
  <c r="Q122" i="168" s="1"/>
  <c r="N184" i="171"/>
  <c r="N122" i="168" s="1"/>
  <c r="S168" i="171"/>
  <c r="Q181" i="171"/>
  <c r="Q119" i="168" s="1"/>
  <c r="L101" i="149"/>
  <c r="Q180" i="171"/>
  <c r="Q118" i="168" s="1"/>
  <c r="L170" i="171"/>
  <c r="L108" i="168" s="1"/>
  <c r="U32" i="174"/>
  <c r="U33" i="171"/>
  <c r="S42" i="178" l="1"/>
  <c r="S41" i="178"/>
  <c r="S77" i="174"/>
  <c r="S68" i="182" s="1"/>
  <c r="S76" i="174"/>
  <c r="S107" i="170" s="1"/>
  <c r="S143" i="151" s="1"/>
  <c r="S81" i="175" s="1"/>
  <c r="S46" i="178"/>
  <c r="B5" i="178"/>
  <c r="S81" i="174"/>
  <c r="S72" i="182" s="1"/>
  <c r="B5" i="174"/>
  <c r="B5" i="182" s="1"/>
  <c r="S113" i="170"/>
  <c r="S149" i="151" s="1"/>
  <c r="S87" i="175" s="1"/>
  <c r="S73" i="182"/>
  <c r="S106" i="168"/>
  <c r="S118" i="150" s="1"/>
  <c r="S119" i="183"/>
  <c r="S74" i="184" s="1"/>
  <c r="N108" i="149"/>
  <c r="S175" i="171"/>
  <c r="N132" i="150"/>
  <c r="Q133" i="150"/>
  <c r="L125" i="150"/>
  <c r="Q130" i="150"/>
  <c r="Q107" i="149"/>
  <c r="L120" i="150"/>
  <c r="L97" i="149"/>
  <c r="Q131" i="150"/>
  <c r="Q108" i="149"/>
  <c r="N134" i="150"/>
  <c r="N111" i="149"/>
  <c r="Q134" i="150"/>
  <c r="Q111" i="149"/>
  <c r="N129" i="150"/>
  <c r="N106" i="149"/>
  <c r="N133" i="150"/>
  <c r="N110" i="149"/>
  <c r="Q112" i="149"/>
  <c r="Q135" i="150"/>
  <c r="N130" i="150"/>
  <c r="N107" i="149"/>
  <c r="L119" i="150"/>
  <c r="L96" i="149"/>
  <c r="U30" i="174"/>
  <c r="U32" i="171"/>
  <c r="S108" i="170" l="1"/>
  <c r="S144" i="151" s="1"/>
  <c r="S67" i="182"/>
  <c r="S95" i="149"/>
  <c r="B5" i="170"/>
  <c r="B5" i="151" s="1"/>
  <c r="B5" i="171" s="1"/>
  <c r="S112" i="170"/>
  <c r="S148" i="151" s="1"/>
  <c r="S82" i="175"/>
  <c r="S170" i="171"/>
  <c r="S169" i="171"/>
  <c r="S113" i="168"/>
  <c r="S102" i="149" s="1"/>
  <c r="S126" i="183"/>
  <c r="S81" i="184" s="1"/>
  <c r="U28" i="174"/>
  <c r="U73" i="174" s="1"/>
  <c r="P73" i="174"/>
  <c r="U30" i="171"/>
  <c r="B5" i="175" l="1"/>
  <c r="S86" i="175"/>
  <c r="S174" i="171"/>
  <c r="S125" i="150"/>
  <c r="S108" i="168"/>
  <c r="S97" i="149" s="1"/>
  <c r="S120" i="150" s="1"/>
  <c r="S121" i="183"/>
  <c r="S76" i="184" s="1"/>
  <c r="S107" i="168"/>
  <c r="S96" i="149" s="1"/>
  <c r="S119" i="150" s="1"/>
  <c r="S120" i="183"/>
  <c r="S75" i="184" s="1"/>
  <c r="B5" i="168"/>
  <c r="B5" i="183"/>
  <c r="B5" i="184" s="1"/>
  <c r="K35" i="7"/>
  <c r="V73" i="174"/>
  <c r="U28" i="171"/>
  <c r="Q17" i="171"/>
  <c r="P166" i="171"/>
  <c r="Q17" i="170"/>
  <c r="S125" i="183" l="1"/>
  <c r="S80" i="184" s="1"/>
  <c r="S112" i="168"/>
  <c r="B5" i="150"/>
  <c r="B5" i="149"/>
  <c r="U166" i="171"/>
  <c r="V166" i="171" s="1"/>
  <c r="S101" i="149" l="1"/>
  <c r="S124" i="150"/>
  <c r="L121" i="168"/>
  <c r="U104" i="168" l="1"/>
  <c r="R37" i="1"/>
  <c r="R36" i="1"/>
  <c r="R35" i="1"/>
  <c r="U43" i="153" l="1"/>
  <c r="P21" i="167" l="1"/>
  <c r="P23" i="167"/>
  <c r="P25" i="167"/>
  <c r="P27" i="167"/>
  <c r="P29" i="167"/>
  <c r="P31" i="167"/>
  <c r="P33" i="167"/>
  <c r="P37" i="167"/>
  <c r="P39" i="167"/>
  <c r="P47" i="167"/>
  <c r="P46" i="167" s="1"/>
  <c r="P43" i="167"/>
  <c r="L68" i="167"/>
  <c r="P20" i="167" l="1"/>
  <c r="P19" i="167" s="1"/>
  <c r="P42" i="167"/>
  <c r="P41" i="167" s="1"/>
  <c r="P17" i="1"/>
  <c r="P19" i="1" s="1"/>
  <c r="L60" i="165"/>
  <c r="U57" i="164"/>
  <c r="U56" i="164"/>
  <c r="U55" i="164"/>
  <c r="U54" i="164"/>
  <c r="U53" i="164"/>
  <c r="U52" i="164"/>
  <c r="U51" i="164"/>
  <c r="U47" i="164"/>
  <c r="U46" i="164"/>
  <c r="U45" i="164"/>
  <c r="U44" i="164"/>
  <c r="U43" i="164"/>
  <c r="U42" i="164"/>
  <c r="U41" i="164"/>
  <c r="U40" i="164"/>
  <c r="U39" i="164"/>
  <c r="U37" i="164"/>
  <c r="U36" i="164"/>
  <c r="L79" i="164"/>
  <c r="U72" i="163"/>
  <c r="U70" i="163"/>
  <c r="U69" i="163"/>
  <c r="U68" i="163"/>
  <c r="U67" i="163"/>
  <c r="U66" i="163"/>
  <c r="U58" i="163"/>
  <c r="U49" i="163"/>
  <c r="U48" i="163"/>
  <c r="U47" i="163"/>
  <c r="U40" i="163"/>
  <c r="U36" i="163"/>
  <c r="U35" i="163"/>
  <c r="L91" i="163"/>
  <c r="L68" i="162"/>
  <c r="U51" i="162"/>
  <c r="L59" i="161"/>
  <c r="L54" i="160"/>
  <c r="U37" i="160"/>
  <c r="AB22" i="7"/>
  <c r="L54" i="159"/>
  <c r="L74" i="155"/>
  <c r="U55" i="155"/>
  <c r="L63" i="153"/>
  <c r="L157" i="151"/>
  <c r="V65" i="150"/>
  <c r="L133" i="150"/>
  <c r="V40" i="150"/>
  <c r="U32" i="150"/>
  <c r="L110" i="149"/>
  <c r="U62" i="164" l="1"/>
  <c r="U74" i="163"/>
  <c r="U42" i="161"/>
  <c r="U36" i="165"/>
  <c r="V36" i="165" s="1"/>
  <c r="U38" i="165"/>
  <c r="V38" i="165" s="1"/>
  <c r="U40" i="155"/>
  <c r="U38" i="155"/>
  <c r="T17" i="168"/>
  <c r="T104" i="168"/>
  <c r="V20" i="7"/>
  <c r="X20" i="7" s="1"/>
  <c r="Z20" i="7"/>
  <c r="AB20" i="7" s="1"/>
  <c r="V19" i="7"/>
  <c r="X19" i="7" s="1"/>
  <c r="Q17" i="1"/>
  <c r="R18" i="1"/>
  <c r="J28" i="7"/>
  <c r="J29" i="7" s="1"/>
  <c r="X22" i="7"/>
  <c r="Z21" i="7"/>
  <c r="AB21" i="7" s="1"/>
  <c r="J19" i="7"/>
  <c r="Z19" i="7"/>
  <c r="AB19" i="7" s="1"/>
  <c r="Z18" i="7"/>
  <c r="AB18" i="7" s="1"/>
  <c r="P17" i="167"/>
  <c r="P16" i="167" s="1"/>
  <c r="P50" i="167" s="1"/>
  <c r="P23" i="1" s="1"/>
  <c r="P22" i="1" s="1"/>
  <c r="I20" i="7"/>
  <c r="V35" i="160"/>
  <c r="J22" i="7"/>
  <c r="I22" i="7"/>
  <c r="V35" i="159"/>
  <c r="V38" i="150"/>
  <c r="V68" i="149"/>
  <c r="T17" i="161" l="1"/>
  <c r="U43" i="165"/>
  <c r="J21" i="7"/>
  <c r="J18" i="7"/>
  <c r="Z28" i="7"/>
  <c r="AB28" i="7" s="1"/>
  <c r="I28" i="7"/>
  <c r="U28" i="159"/>
  <c r="U37" i="159" s="1"/>
  <c r="T62" i="164"/>
  <c r="Z17" i="7"/>
  <c r="AB17" i="7" s="1"/>
  <c r="I21" i="7"/>
  <c r="V21" i="7"/>
  <c r="X21" i="7" s="1"/>
  <c r="I16" i="7"/>
  <c r="V16" i="7"/>
  <c r="X16" i="7" s="1"/>
  <c r="V17" i="7"/>
  <c r="X17" i="7" s="1"/>
  <c r="Z16" i="7"/>
  <c r="AB16" i="7" s="1"/>
  <c r="AB24" i="7" s="1"/>
  <c r="Q16" i="1"/>
  <c r="Q19" i="1"/>
  <c r="R19" i="1" s="1"/>
  <c r="R17" i="1"/>
  <c r="T50" i="167"/>
  <c r="Q23" i="1" s="1"/>
  <c r="R23" i="1" s="1"/>
  <c r="S23" i="1" s="1"/>
  <c r="U16" i="167"/>
  <c r="U50" i="167" s="1"/>
  <c r="T51" i="162"/>
  <c r="T17" i="162"/>
  <c r="T17" i="160"/>
  <c r="T37" i="160"/>
  <c r="T37" i="159"/>
  <c r="Z27" i="7"/>
  <c r="AB27" i="7" s="1"/>
  <c r="AB29" i="7" s="1"/>
  <c r="U46" i="155"/>
  <c r="V28" i="7"/>
  <c r="X28" i="7" s="1"/>
  <c r="U34" i="153"/>
  <c r="T46" i="153"/>
  <c r="T17" i="153"/>
  <c r="U35" i="150"/>
  <c r="T17" i="163" l="1"/>
  <c r="J20" i="7"/>
  <c r="T42" i="161"/>
  <c r="T74" i="163"/>
  <c r="P51" i="162"/>
  <c r="I19" i="7"/>
  <c r="K19" i="7" s="1"/>
  <c r="N19" i="7" s="1"/>
  <c r="T17" i="164"/>
  <c r="J17" i="7"/>
  <c r="I27" i="7"/>
  <c r="I29" i="7" s="1"/>
  <c r="Q17" i="164"/>
  <c r="I17" i="7"/>
  <c r="T17" i="165"/>
  <c r="J16" i="7"/>
  <c r="V51" i="162"/>
  <c r="Q17" i="162"/>
  <c r="V27" i="7"/>
  <c r="Z53" i="7"/>
  <c r="T43" i="165"/>
  <c r="P62" i="164"/>
  <c r="Q17" i="165"/>
  <c r="P43" i="165"/>
  <c r="Q17" i="149"/>
  <c r="U33" i="150"/>
  <c r="Q22" i="1"/>
  <c r="P42" i="161"/>
  <c r="Q17" i="161"/>
  <c r="P37" i="160"/>
  <c r="Q17" i="160"/>
  <c r="T17" i="155"/>
  <c r="U37" i="155"/>
  <c r="U33" i="153"/>
  <c r="T17" i="150"/>
  <c r="T116" i="150"/>
  <c r="U34" i="150"/>
  <c r="V34" i="150" s="1"/>
  <c r="J24" i="7" l="1"/>
  <c r="X27" i="7"/>
  <c r="X29" i="7" s="1"/>
  <c r="V62" i="164"/>
  <c r="Q26" i="1"/>
  <c r="R22" i="1"/>
  <c r="S22" i="1" s="1"/>
  <c r="V43" i="165"/>
  <c r="V37" i="160"/>
  <c r="K17" i="7"/>
  <c r="N17" i="7" s="1"/>
  <c r="V42" i="161"/>
  <c r="P104" i="168"/>
  <c r="Q17" i="168"/>
  <c r="V34" i="159"/>
  <c r="T57" i="155"/>
  <c r="U30" i="150"/>
  <c r="V33" i="149"/>
  <c r="AC32" i="7" l="1"/>
  <c r="K20" i="7"/>
  <c r="N20" i="7" s="1"/>
  <c r="K16" i="7"/>
  <c r="N16" i="7" s="1"/>
  <c r="V28" i="168"/>
  <c r="V104" i="168"/>
  <c r="K21" i="7"/>
  <c r="N21" i="7" s="1"/>
  <c r="P37" i="159"/>
  <c r="Q17" i="153"/>
  <c r="P46" i="153"/>
  <c r="U28" i="153"/>
  <c r="U46" i="153" s="1"/>
  <c r="Q17" i="150"/>
  <c r="U28" i="150"/>
  <c r="U116" i="150" s="1"/>
  <c r="P116" i="150"/>
  <c r="T17" i="149"/>
  <c r="V116" i="150" l="1"/>
  <c r="K50" i="7"/>
  <c r="N50" i="7" s="1"/>
  <c r="V37" i="159"/>
  <c r="K28" i="7"/>
  <c r="N28" i="7" s="1"/>
  <c r="V93" i="149"/>
  <c r="K51" i="7"/>
  <c r="N51" i="7" s="1"/>
  <c r="K52" i="7" l="1"/>
  <c r="N52" i="7" s="1"/>
  <c r="K22" i="7"/>
  <c r="N22" i="7" s="1"/>
  <c r="U30" i="155"/>
  <c r="U28" i="155" l="1"/>
  <c r="Q17" i="155"/>
  <c r="P57" i="155"/>
  <c r="U57" i="155" l="1"/>
  <c r="V57" i="155" s="1"/>
  <c r="K27" i="7"/>
  <c r="N27" i="7" s="1"/>
  <c r="C25" i="134" l="1"/>
  <c r="C24" i="134"/>
  <c r="E24" i="134"/>
  <c r="G12" i="134" l="1"/>
  <c r="C23" i="134"/>
  <c r="C22" i="134"/>
  <c r="C21" i="134"/>
  <c r="E23" i="134" l="1"/>
  <c r="E25" i="134"/>
  <c r="E22" i="134" l="1"/>
  <c r="E21" i="134" l="1"/>
  <c r="E20" i="134" s="1"/>
  <c r="AA27" i="1" l="1"/>
  <c r="X29" i="1" l="1"/>
  <c r="X30" i="1" l="1"/>
  <c r="X25" i="1" s="1"/>
  <c r="AA26" i="1" l="1"/>
  <c r="AA28" i="1" l="1"/>
  <c r="P16" i="1" l="1"/>
  <c r="R16" i="1" s="1"/>
  <c r="AA29" i="1" l="1"/>
  <c r="W24" i="1"/>
  <c r="E10" i="134" s="1"/>
  <c r="E9" i="134" s="1"/>
  <c r="AA24" i="1" l="1"/>
  <c r="K41" i="7" l="1"/>
  <c r="N41" i="7" s="1"/>
  <c r="AA25" i="1" l="1"/>
  <c r="AA30" i="1" s="1"/>
  <c r="AA53" i="7" l="1"/>
  <c r="W53" i="7"/>
  <c r="Q27" i="1" l="1"/>
  <c r="P27" i="1"/>
  <c r="W28" i="1" l="1"/>
  <c r="E14" i="134" s="1"/>
  <c r="I18" i="7" l="1"/>
  <c r="Q17" i="163"/>
  <c r="P74" i="163"/>
  <c r="V74" i="163" s="1"/>
  <c r="V18" i="7"/>
  <c r="V53" i="7" s="1"/>
  <c r="K18" i="7" l="1"/>
  <c r="N18" i="7" s="1"/>
  <c r="I24" i="7"/>
  <c r="P26" i="1"/>
  <c r="X18" i="7"/>
  <c r="X24" i="7" l="1"/>
  <c r="AC24" i="7" s="1"/>
  <c r="W27" i="1"/>
  <c r="E13" i="134" s="1"/>
  <c r="T17" i="151"/>
  <c r="Q17" i="151"/>
  <c r="J40" i="7"/>
  <c r="I40" i="7"/>
  <c r="I42" i="7" s="1"/>
  <c r="I54" i="7" s="1"/>
  <c r="U28" i="151"/>
  <c r="V28" i="151" s="1"/>
  <c r="AB40" i="7"/>
  <c r="AB42" i="7" s="1"/>
  <c r="P140" i="151"/>
  <c r="X40" i="7"/>
  <c r="X42" i="7" s="1"/>
  <c r="U30" i="151"/>
  <c r="V30" i="151" s="1"/>
  <c r="T140" i="151"/>
  <c r="AC42" i="7" l="1"/>
  <c r="K40" i="7"/>
  <c r="N40" i="7" s="1"/>
  <c r="N54" i="7" s="1"/>
  <c r="W54" i="7"/>
  <c r="Y53" i="7"/>
  <c r="U140" i="151"/>
  <c r="V140" i="151" s="1"/>
  <c r="J42" i="7"/>
  <c r="J54" i="7" s="1"/>
  <c r="K54" i="7" l="1"/>
  <c r="P25" i="1"/>
  <c r="P24" i="1" s="1"/>
  <c r="U26" i="1" s="1"/>
  <c r="AA54" i="7"/>
  <c r="AC54" i="7" s="1"/>
  <c r="Q25" i="1"/>
  <c r="Q24" i="1" s="1"/>
  <c r="X37" i="1" l="1"/>
  <c r="W26" i="1"/>
  <c r="E12" i="134" s="1"/>
  <c r="E11" i="134" s="1"/>
  <c r="E18" i="134" s="1"/>
  <c r="AA37" i="1"/>
  <c r="X24" i="1"/>
  <c r="AA32" i="1" s="1"/>
  <c r="Y33" i="1" s="1"/>
  <c r="U31" i="1"/>
  <c r="P21" i="1"/>
  <c r="X33" i="1" s="1"/>
  <c r="U25" i="1"/>
  <c r="Q21" i="1"/>
  <c r="R24" i="1"/>
  <c r="S24" i="1" s="1"/>
  <c r="E8" i="134" l="1"/>
  <c r="P29" i="1"/>
  <c r="Q29" i="1"/>
  <c r="R21" i="1"/>
  <c r="S21" i="1" s="1"/>
  <c r="J67" i="75" l="1"/>
  <c r="R29" i="1"/>
  <c r="U34" i="1" l="1"/>
  <c r="S29" i="1"/>
</calcChain>
</file>

<file path=xl/comments1.xml><?xml version="1.0" encoding="utf-8"?>
<comments xmlns="http://schemas.openxmlformats.org/spreadsheetml/2006/main">
  <authors>
    <author>zilix</author>
    <author>DELL</author>
  </authors>
  <commentList>
    <comment ref="G9" authorId="0" shapeId="0">
      <text>
        <r>
          <rPr>
            <b/>
            <sz val="8"/>
            <color indexed="81"/>
            <rFont val="Tahoma"/>
            <family val="2"/>
          </rPr>
          <t>zilix:</t>
        </r>
        <r>
          <rPr>
            <sz val="8"/>
            <color indexed="81"/>
            <rFont val="Tahoma"/>
            <family val="2"/>
          </rPr>
          <t xml:space="preserve">
</t>
        </r>
      </text>
    </comment>
    <comment ref="K54" authorId="1" shapeId="0">
      <text>
        <r>
          <rPr>
            <b/>
            <sz val="9"/>
            <color indexed="81"/>
            <rFont val="Tahoma"/>
            <family val="2"/>
          </rPr>
          <t>5 juta Cat/Sisip M-Pustika</t>
        </r>
      </text>
    </comment>
  </commentList>
</comments>
</file>

<file path=xl/comments2.xml><?xml version="1.0" encoding="utf-8"?>
<comments xmlns="http://schemas.openxmlformats.org/spreadsheetml/2006/main">
  <authors>
    <author>SASU</author>
  </authors>
  <commentList>
    <comment ref="M35" authorId="0" shapeId="0">
      <text>
        <r>
          <rPr>
            <b/>
            <sz val="9"/>
            <color indexed="81"/>
            <rFont val="Tahoma"/>
            <family val="2"/>
          </rPr>
          <t>SASU:</t>
        </r>
        <r>
          <rPr>
            <sz val="9"/>
            <color indexed="81"/>
            <rFont val="Tahoma"/>
            <family val="2"/>
          </rPr>
          <t xml:space="preserve">
40 % dari jumlah peg (jlh peg 29 org)</t>
        </r>
      </text>
    </comment>
    <comment ref="Q35" authorId="0" shapeId="0">
      <text>
        <r>
          <rPr>
            <b/>
            <sz val="9"/>
            <color indexed="81"/>
            <rFont val="Tahoma"/>
            <family val="2"/>
          </rPr>
          <t>SASU:</t>
        </r>
        <r>
          <rPr>
            <sz val="9"/>
            <color indexed="81"/>
            <rFont val="Tahoma"/>
            <family val="2"/>
          </rPr>
          <t xml:space="preserve">
40 % dari jumlah peg (jlh peg 29 org)</t>
        </r>
      </text>
    </comment>
  </commentList>
</comments>
</file>

<file path=xl/comments3.xml><?xml version="1.0" encoding="utf-8"?>
<comments xmlns="http://schemas.openxmlformats.org/spreadsheetml/2006/main">
  <authors>
    <author>SASU</author>
  </authors>
  <commentList>
    <comment ref="P52" authorId="0" shapeId="0">
      <text>
        <r>
          <rPr>
            <b/>
            <sz val="9"/>
            <color indexed="81"/>
            <rFont val="Tahoma"/>
            <family val="2"/>
          </rPr>
          <t>SASU:</t>
        </r>
        <r>
          <rPr>
            <sz val="9"/>
            <color indexed="81"/>
            <rFont val="Tahoma"/>
            <family val="2"/>
          </rPr>
          <t xml:space="preserve">
ATK harus 500 rb</t>
        </r>
      </text>
    </comment>
    <comment ref="T52" authorId="0" shapeId="0">
      <text>
        <r>
          <rPr>
            <b/>
            <sz val="9"/>
            <color indexed="81"/>
            <rFont val="Tahoma"/>
            <family val="2"/>
          </rPr>
          <t>SASU:</t>
        </r>
        <r>
          <rPr>
            <sz val="9"/>
            <color indexed="81"/>
            <rFont val="Tahoma"/>
            <family val="2"/>
          </rPr>
          <t xml:space="preserve">
ATK harus 500 rb</t>
        </r>
      </text>
    </comment>
  </commentList>
</comments>
</file>

<file path=xl/comments4.xml><?xml version="1.0" encoding="utf-8"?>
<comments xmlns="http://schemas.openxmlformats.org/spreadsheetml/2006/main">
  <authors>
    <author>Asus</author>
    <author>SASU</author>
  </authors>
  <commentList>
    <comment ref="L43" authorId="0" shapeId="0">
      <text>
        <r>
          <rPr>
            <b/>
            <sz val="9"/>
            <color indexed="81"/>
            <rFont val="Tahoma"/>
            <family val="2"/>
          </rPr>
          <t>Asus:</t>
        </r>
        <r>
          <rPr>
            <sz val="9"/>
            <color indexed="81"/>
            <rFont val="Tahoma"/>
            <family val="2"/>
          </rPr>
          <t xml:space="preserve">
walkot, wakil
</t>
        </r>
      </text>
    </comment>
    <comment ref="L44" authorId="0" shapeId="0">
      <text>
        <r>
          <rPr>
            <b/>
            <sz val="9"/>
            <color indexed="81"/>
            <rFont val="Tahoma"/>
            <family val="2"/>
          </rPr>
          <t>Asus:</t>
        </r>
        <r>
          <rPr>
            <sz val="9"/>
            <color indexed="81"/>
            <rFont val="Tahoma"/>
            <family val="2"/>
          </rPr>
          <t xml:space="preserve">
Sekda</t>
        </r>
      </text>
    </comment>
    <comment ref="L45" authorId="0" shapeId="0">
      <text>
        <r>
          <rPr>
            <b/>
            <sz val="9"/>
            <color indexed="81"/>
            <rFont val="Tahoma"/>
            <family val="2"/>
          </rPr>
          <t>Asus:</t>
        </r>
        <r>
          <rPr>
            <sz val="9"/>
            <color indexed="81"/>
            <rFont val="Tahoma"/>
            <family val="2"/>
          </rPr>
          <t xml:space="preserve">
Ass II</t>
        </r>
      </text>
    </comment>
    <comment ref="L46" authorId="0" shapeId="0">
      <text>
        <r>
          <rPr>
            <b/>
            <sz val="9"/>
            <color indexed="81"/>
            <rFont val="Tahoma"/>
            <family val="2"/>
          </rPr>
          <t>Asus:</t>
        </r>
        <r>
          <rPr>
            <sz val="9"/>
            <color indexed="81"/>
            <rFont val="Tahoma"/>
            <family val="2"/>
          </rPr>
          <t xml:space="preserve">
Kadis kominfotik</t>
        </r>
      </text>
    </comment>
    <comment ref="L47" authorId="0" shapeId="0">
      <text>
        <r>
          <rPr>
            <b/>
            <sz val="9"/>
            <color indexed="81"/>
            <rFont val="Tahoma"/>
            <family val="2"/>
          </rPr>
          <t>Asus:</t>
        </r>
        <r>
          <rPr>
            <sz val="9"/>
            <color indexed="81"/>
            <rFont val="Tahoma"/>
            <family val="2"/>
          </rPr>
          <t xml:space="preserve">
Ka Bappeda</t>
        </r>
      </text>
    </comment>
    <comment ref="L48" authorId="0" shapeId="0">
      <text>
        <r>
          <rPr>
            <b/>
            <sz val="9"/>
            <color indexed="81"/>
            <rFont val="Tahoma"/>
            <family val="2"/>
          </rPr>
          <t>Asus:</t>
        </r>
        <r>
          <rPr>
            <sz val="9"/>
            <color indexed="81"/>
            <rFont val="Tahoma"/>
            <family val="2"/>
          </rPr>
          <t xml:space="preserve">
Sekdis Kominfo
Sekdis Bappeda
</t>
        </r>
      </text>
    </comment>
    <comment ref="L72" authorId="1" shapeId="0">
      <text>
        <r>
          <rPr>
            <b/>
            <sz val="9"/>
            <color indexed="81"/>
            <rFont val="Tahoma"/>
            <family val="2"/>
          </rPr>
          <t>SASU:</t>
        </r>
        <r>
          <rPr>
            <sz val="9"/>
            <color indexed="81"/>
            <rFont val="Tahoma"/>
            <family val="2"/>
          </rPr>
          <t xml:space="preserve">
farid nyak umar tgl 27-12-2019 Rp. 198.000.000</t>
        </r>
      </text>
    </comment>
    <comment ref="L73" authorId="1" shapeId="0">
      <text>
        <r>
          <rPr>
            <b/>
            <sz val="9"/>
            <color indexed="81"/>
            <rFont val="Tahoma"/>
            <family val="2"/>
          </rPr>
          <t>SASU:</t>
        </r>
        <r>
          <rPr>
            <sz val="9"/>
            <color indexed="81"/>
            <rFont val="Tahoma"/>
            <family val="2"/>
          </rPr>
          <t xml:space="preserve">
farid nyak umar tgl 31-12-2019 Rp. 50.000.000</t>
        </r>
      </text>
    </comment>
  </commentList>
</comments>
</file>

<file path=xl/comments5.xml><?xml version="1.0" encoding="utf-8"?>
<comments xmlns="http://schemas.openxmlformats.org/spreadsheetml/2006/main">
  <authors>
    <author>GOVERMENT</author>
  </authors>
  <commentList>
    <comment ref="L39" authorId="0" shapeId="0">
      <text>
        <r>
          <rPr>
            <b/>
            <sz val="9"/>
            <color indexed="81"/>
            <rFont val="Tahoma"/>
            <family val="2"/>
          </rPr>
          <t>GOVERMENT:</t>
        </r>
        <r>
          <rPr>
            <sz val="9"/>
            <color indexed="81"/>
            <rFont val="Tahoma"/>
            <family val="2"/>
          </rPr>
          <t xml:space="preserve">
Walikota dan Wakil Walokota</t>
        </r>
      </text>
    </comment>
    <comment ref="L40" authorId="0" shapeId="0">
      <text>
        <r>
          <rPr>
            <b/>
            <sz val="9"/>
            <color indexed="81"/>
            <rFont val="Tahoma"/>
            <family val="2"/>
          </rPr>
          <t>GOVERMENT:</t>
        </r>
        <r>
          <rPr>
            <sz val="9"/>
            <color indexed="81"/>
            <rFont val="Tahoma"/>
            <family val="2"/>
          </rPr>
          <t xml:space="preserve">
Sekda Kota Banda Aceh</t>
        </r>
      </text>
    </comment>
    <comment ref="L41" authorId="0" shapeId="0">
      <text>
        <r>
          <rPr>
            <b/>
            <sz val="9"/>
            <color indexed="81"/>
            <rFont val="Tahoma"/>
            <family val="2"/>
          </rPr>
          <t>GOVERMENT:</t>
        </r>
        <r>
          <rPr>
            <sz val="9"/>
            <color indexed="81"/>
            <rFont val="Tahoma"/>
            <family val="2"/>
          </rPr>
          <t xml:space="preserve">
Kadis Kominfo</t>
        </r>
      </text>
    </comment>
    <comment ref="L42" authorId="0" shapeId="0">
      <text>
        <r>
          <rPr>
            <b/>
            <sz val="9"/>
            <color indexed="81"/>
            <rFont val="Tahoma"/>
            <family val="2"/>
          </rPr>
          <t>GOVERMENT:</t>
        </r>
        <r>
          <rPr>
            <sz val="9"/>
            <color indexed="81"/>
            <rFont val="Tahoma"/>
            <family val="2"/>
          </rPr>
          <t xml:space="preserve">
Kabid E-Gov</t>
        </r>
      </text>
    </comment>
    <comment ref="L43" authorId="0" shapeId="0">
      <text>
        <r>
          <rPr>
            <b/>
            <sz val="9"/>
            <color indexed="81"/>
            <rFont val="Tahoma"/>
            <family val="2"/>
          </rPr>
          <t>GOVERMENT:</t>
        </r>
        <r>
          <rPr>
            <sz val="9"/>
            <color indexed="81"/>
            <rFont val="Tahoma"/>
            <family val="2"/>
          </rPr>
          <t xml:space="preserve">
Kasi Infrastruktur</t>
        </r>
      </text>
    </comment>
    <comment ref="L44" authorId="0" shapeId="0">
      <text>
        <r>
          <rPr>
            <b/>
            <sz val="9"/>
            <color indexed="81"/>
            <rFont val="Tahoma"/>
            <family val="2"/>
          </rPr>
          <t>GOVERMENT:</t>
        </r>
        <r>
          <rPr>
            <sz val="9"/>
            <color indexed="81"/>
            <rFont val="Tahoma"/>
            <family val="2"/>
          </rPr>
          <t xml:space="preserve">
Diskominfo
Pembangunan</t>
        </r>
      </text>
    </comment>
    <comment ref="L45" authorId="0" shapeId="0">
      <text>
        <r>
          <rPr>
            <b/>
            <sz val="9"/>
            <color indexed="81"/>
            <rFont val="Tahoma"/>
            <family val="2"/>
          </rPr>
          <t>GOVERMENT:</t>
        </r>
        <r>
          <rPr>
            <sz val="9"/>
            <color indexed="81"/>
            <rFont val="Tahoma"/>
            <family val="2"/>
          </rPr>
          <t xml:space="preserve">
Tenaga Ahli Jaringan TIK
Banda Aceh</t>
        </r>
      </text>
    </comment>
    <comment ref="L48" authorId="0" shapeId="0">
      <text>
        <r>
          <rPr>
            <b/>
            <sz val="9"/>
            <color indexed="81"/>
            <rFont val="Tahoma"/>
            <family val="2"/>
          </rPr>
          <t>GOVERMENT:</t>
        </r>
        <r>
          <rPr>
            <sz val="9"/>
            <color indexed="81"/>
            <rFont val="Tahoma"/>
            <family val="2"/>
          </rPr>
          <t xml:space="preserve">
Sekda</t>
        </r>
      </text>
    </comment>
    <comment ref="L49" authorId="0" shapeId="0">
      <text>
        <r>
          <rPr>
            <b/>
            <sz val="9"/>
            <color indexed="81"/>
            <rFont val="Tahoma"/>
            <family val="2"/>
          </rPr>
          <t>GOVERMENT:</t>
        </r>
        <r>
          <rPr>
            <sz val="9"/>
            <color indexed="81"/>
            <rFont val="Tahoma"/>
            <family val="2"/>
          </rPr>
          <t xml:space="preserve">
Kadis Kominfo</t>
        </r>
      </text>
    </comment>
    <comment ref="L50" authorId="0" shapeId="0">
      <text>
        <r>
          <rPr>
            <b/>
            <sz val="9"/>
            <color indexed="81"/>
            <rFont val="Tahoma"/>
            <family val="2"/>
          </rPr>
          <t>GOVERMENT:</t>
        </r>
        <r>
          <rPr>
            <sz val="9"/>
            <color indexed="81"/>
            <rFont val="Tahoma"/>
            <family val="2"/>
          </rPr>
          <t xml:space="preserve">
Asisten III</t>
        </r>
      </text>
    </comment>
    <comment ref="L51" authorId="0" shapeId="0">
      <text>
        <r>
          <rPr>
            <b/>
            <sz val="9"/>
            <color indexed="81"/>
            <rFont val="Tahoma"/>
            <family val="2"/>
          </rPr>
          <t>GOVERMENT:</t>
        </r>
        <r>
          <rPr>
            <sz val="9"/>
            <color indexed="81"/>
            <rFont val="Tahoma"/>
            <family val="2"/>
          </rPr>
          <t xml:space="preserve">
Kabid E-Gov</t>
        </r>
      </text>
    </comment>
    <comment ref="L52" authorId="0" shapeId="0">
      <text>
        <r>
          <rPr>
            <b/>
            <sz val="9"/>
            <color indexed="81"/>
            <rFont val="Tahoma"/>
            <family val="2"/>
          </rPr>
          <t>GOVERMENT:</t>
        </r>
        <r>
          <rPr>
            <sz val="9"/>
            <color indexed="81"/>
            <rFont val="Tahoma"/>
            <family val="2"/>
          </rPr>
          <t xml:space="preserve">
Kasi Aplikasi</t>
        </r>
      </text>
    </comment>
    <comment ref="L53" authorId="0" shapeId="0">
      <text>
        <r>
          <rPr>
            <b/>
            <sz val="9"/>
            <color indexed="81"/>
            <rFont val="Tahoma"/>
            <family val="2"/>
          </rPr>
          <t>GOVERMENT:</t>
        </r>
        <r>
          <rPr>
            <sz val="9"/>
            <color indexed="81"/>
            <rFont val="Tahoma"/>
            <family val="2"/>
          </rPr>
          <t xml:space="preserve">
Dede
Buk Yanti
CPNS
UPTD ZIS Bappeda
</t>
        </r>
      </text>
    </comment>
    <comment ref="L54" authorId="0" shapeId="0">
      <text>
        <r>
          <rPr>
            <b/>
            <sz val="9"/>
            <color indexed="81"/>
            <rFont val="Tahoma"/>
            <family val="2"/>
          </rPr>
          <t>Tim Aplikasi E Gov</t>
        </r>
      </text>
    </comment>
    <comment ref="O76" authorId="0" shapeId="0">
      <text>
        <r>
          <rPr>
            <b/>
            <sz val="9"/>
            <color indexed="81"/>
            <rFont val="Tahoma"/>
            <family val="2"/>
          </rPr>
          <t>GOVERMENT:</t>
        </r>
        <r>
          <rPr>
            <sz val="9"/>
            <color indexed="81"/>
            <rFont val="Tahoma"/>
            <family val="2"/>
          </rPr>
          <t xml:space="preserve">
50 Mbps</t>
        </r>
      </text>
    </comment>
    <comment ref="S76" authorId="0" shapeId="0">
      <text>
        <r>
          <rPr>
            <b/>
            <sz val="9"/>
            <color indexed="81"/>
            <rFont val="Tahoma"/>
            <family val="2"/>
          </rPr>
          <t>GOVERMENT:</t>
        </r>
        <r>
          <rPr>
            <sz val="9"/>
            <color indexed="81"/>
            <rFont val="Tahoma"/>
            <family val="2"/>
          </rPr>
          <t xml:space="preserve">
50 Mbps</t>
        </r>
      </text>
    </comment>
  </commentList>
</comments>
</file>

<file path=xl/comments6.xml><?xml version="1.0" encoding="utf-8"?>
<comments xmlns="http://schemas.openxmlformats.org/spreadsheetml/2006/main">
  <authors>
    <author>SASU</author>
  </authors>
  <commentList>
    <comment ref="L107" authorId="0" shapeId="0">
      <text>
        <r>
          <rPr>
            <b/>
            <sz val="9"/>
            <color indexed="81"/>
            <rFont val="Tahoma"/>
            <family val="2"/>
          </rPr>
          <t>SASU:</t>
        </r>
        <r>
          <rPr>
            <sz val="9"/>
            <color indexed="81"/>
            <rFont val="Tahoma"/>
            <family val="2"/>
          </rPr>
          <t xml:space="preserve">
dirubah menjadi tim penyusun dokumen integrasi aplikasi dan bisnis proses aplikasi SKPD</t>
        </r>
      </text>
    </comment>
  </commentList>
</comments>
</file>

<file path=xl/comments7.xml><?xml version="1.0" encoding="utf-8"?>
<comments xmlns="http://schemas.openxmlformats.org/spreadsheetml/2006/main">
  <authors>
    <author>Asus</author>
    <author>Acer</author>
  </authors>
  <commentList>
    <comment ref="L56" authorId="0" shapeId="0">
      <text>
        <r>
          <rPr>
            <b/>
            <sz val="9"/>
            <color indexed="81"/>
            <rFont val="Tahoma"/>
            <family val="2"/>
          </rPr>
          <t>Asus:</t>
        </r>
        <r>
          <rPr>
            <sz val="9"/>
            <color indexed="81"/>
            <rFont val="Tahoma"/>
            <family val="2"/>
          </rPr>
          <t xml:space="preserve">
walkot, wakil
</t>
        </r>
      </text>
    </comment>
    <comment ref="L57" authorId="0" shapeId="0">
      <text>
        <r>
          <rPr>
            <b/>
            <sz val="9"/>
            <color indexed="81"/>
            <rFont val="Tahoma"/>
            <family val="2"/>
          </rPr>
          <t>Asus:</t>
        </r>
        <r>
          <rPr>
            <sz val="9"/>
            <color indexed="81"/>
            <rFont val="Tahoma"/>
            <family val="2"/>
          </rPr>
          <t xml:space="preserve">
Sekda</t>
        </r>
      </text>
    </comment>
    <comment ref="L58" authorId="0" shapeId="0">
      <text>
        <r>
          <rPr>
            <b/>
            <sz val="9"/>
            <color indexed="81"/>
            <rFont val="Tahoma"/>
            <family val="2"/>
          </rPr>
          <t>Asus:</t>
        </r>
        <r>
          <rPr>
            <sz val="9"/>
            <color indexed="81"/>
            <rFont val="Tahoma"/>
            <family val="2"/>
          </rPr>
          <t xml:space="preserve">
Ass II</t>
        </r>
      </text>
    </comment>
    <comment ref="L59" authorId="0" shapeId="0">
      <text>
        <r>
          <rPr>
            <b/>
            <sz val="9"/>
            <color indexed="81"/>
            <rFont val="Tahoma"/>
            <family val="2"/>
          </rPr>
          <t>Asus:</t>
        </r>
        <r>
          <rPr>
            <sz val="9"/>
            <color indexed="81"/>
            <rFont val="Tahoma"/>
            <family val="2"/>
          </rPr>
          <t xml:space="preserve">
Kadis kominfotik</t>
        </r>
      </text>
    </comment>
    <comment ref="L60" authorId="0" shapeId="0">
      <text>
        <r>
          <rPr>
            <b/>
            <sz val="9"/>
            <color indexed="81"/>
            <rFont val="Tahoma"/>
            <family val="2"/>
          </rPr>
          <t>Asus:</t>
        </r>
        <r>
          <rPr>
            <sz val="9"/>
            <color indexed="81"/>
            <rFont val="Tahoma"/>
            <family val="2"/>
          </rPr>
          <t xml:space="preserve">
Ka Bappeda</t>
        </r>
      </text>
    </comment>
    <comment ref="L61" authorId="0" shapeId="0">
      <text>
        <r>
          <rPr>
            <b/>
            <sz val="9"/>
            <color indexed="81"/>
            <rFont val="Tahoma"/>
            <family val="2"/>
          </rPr>
          <t>Asus:</t>
        </r>
        <r>
          <rPr>
            <sz val="9"/>
            <color indexed="81"/>
            <rFont val="Tahoma"/>
            <family val="2"/>
          </rPr>
          <t xml:space="preserve">
Sekdis Kominfo
Sekdis Bappeda
</t>
        </r>
      </text>
    </comment>
    <comment ref="X122" authorId="1" shapeId="0">
      <text>
        <r>
          <rPr>
            <b/>
            <sz val="9"/>
            <color indexed="81"/>
            <rFont val="Tahoma"/>
            <family val="2"/>
          </rPr>
          <t>Acer:</t>
        </r>
        <r>
          <rPr>
            <sz val="9"/>
            <color indexed="81"/>
            <rFont val="Tahoma"/>
            <family val="2"/>
          </rPr>
          <t xml:space="preserve">
Alihkan ke SPPD</t>
        </r>
      </text>
    </comment>
  </commentList>
</comments>
</file>

<file path=xl/comments8.xml><?xml version="1.0" encoding="utf-8"?>
<comments xmlns="http://schemas.openxmlformats.org/spreadsheetml/2006/main">
  <authors>
    <author>Author</author>
  </authors>
  <commentList>
    <comment ref="L91" authorId="0" shapeId="0">
      <text>
        <r>
          <rPr>
            <b/>
            <sz val="9"/>
            <color indexed="81"/>
            <rFont val="Tahoma"/>
            <family val="2"/>
          </rPr>
          <t>Author:</t>
        </r>
        <r>
          <rPr>
            <sz val="9"/>
            <color indexed="81"/>
            <rFont val="Tahoma"/>
            <family val="2"/>
          </rPr>
          <t xml:space="preserve">
PPID Pembantu   45 org
Operator PPID     45 org
Narasumber           2 org
Moderator             1 org
Notulen                1 org
Panitia                 10 org
Petugas kebersihan 3 org</t>
        </r>
      </text>
    </comment>
    <comment ref="L92" authorId="0" shapeId="0">
      <text>
        <r>
          <rPr>
            <b/>
            <sz val="9"/>
            <color indexed="81"/>
            <rFont val="Tahoma"/>
            <family val="2"/>
          </rPr>
          <t>Author:</t>
        </r>
        <r>
          <rPr>
            <sz val="9"/>
            <color indexed="81"/>
            <rFont val="Tahoma"/>
            <family val="2"/>
          </rPr>
          <t xml:space="preserve">
PPID Pembantu   45 org
Operator PPID     45 org
Undangan Pembukaan 45 org
Narasumber           2 org
Moderator             1 org
Notulen                1 org
Panitia                 10 org
Petugas kebersihan 3 org</t>
        </r>
      </text>
    </comment>
    <comment ref="L93" authorId="0" shapeId="0">
      <text>
        <r>
          <rPr>
            <b/>
            <sz val="9"/>
            <color indexed="81"/>
            <rFont val="Tahoma"/>
            <family val="2"/>
          </rPr>
          <t>Author:</t>
        </r>
        <r>
          <rPr>
            <sz val="9"/>
            <color indexed="81"/>
            <rFont val="Tahoma"/>
            <family val="2"/>
          </rPr>
          <t xml:space="preserve">
Peserta para sekretaris  45 org
Tim Peringkatan             7 org
panitia                          8 org</t>
        </r>
      </text>
    </comment>
  </commentList>
</comments>
</file>

<file path=xl/comments9.xml><?xml version="1.0" encoding="utf-8"?>
<comments xmlns="http://schemas.openxmlformats.org/spreadsheetml/2006/main">
  <authors>
    <author>Author</author>
  </authors>
  <commentList>
    <comment ref="Q90" authorId="0" shapeId="0">
      <text>
        <r>
          <rPr>
            <b/>
            <sz val="9"/>
            <color indexed="81"/>
            <rFont val="Tahoma"/>
            <family val="2"/>
          </rPr>
          <t>Author:</t>
        </r>
        <r>
          <rPr>
            <sz val="9"/>
            <color indexed="81"/>
            <rFont val="Tahoma"/>
            <family val="2"/>
          </rPr>
          <t xml:space="preserve">
- Peserta (27 bh)
- Pendamping (9 bh)
- Dewan Juri (3 bh)
- MC (1 bh)
- Panitia (10 bh)</t>
        </r>
      </text>
    </comment>
    <comment ref="M91" authorId="0" shapeId="0">
      <text>
        <r>
          <rPr>
            <b/>
            <sz val="9"/>
            <color indexed="81"/>
            <rFont val="Tahoma"/>
            <family val="2"/>
          </rPr>
          <t>Author:</t>
        </r>
        <r>
          <rPr>
            <sz val="9"/>
            <color indexed="81"/>
            <rFont val="Tahoma"/>
            <family val="2"/>
          </rPr>
          <t xml:space="preserve">
- Peserta (27 bh)
- Pendamping (9 bh)
- Dewan Juri (3 bh)
- MC (1 bh)
- Panitia (10 bh)</t>
        </r>
      </text>
    </comment>
    <comment ref="Q91" authorId="0" shapeId="0">
      <text>
        <r>
          <rPr>
            <b/>
            <sz val="9"/>
            <color indexed="81"/>
            <rFont val="Tahoma"/>
            <family val="2"/>
          </rPr>
          <t>Cetak Sertifikat :
1. 6 org x 9 kec = 54
2. 8 org Pemateri</t>
        </r>
        <r>
          <rPr>
            <sz val="9"/>
            <color indexed="81"/>
            <rFont val="Tahoma"/>
            <family val="2"/>
          </rPr>
          <t xml:space="preserve">
</t>
        </r>
      </text>
    </comment>
    <comment ref="M92" authorId="0" shapeId="0">
      <text>
        <r>
          <rPr>
            <b/>
            <sz val="9"/>
            <color indexed="81"/>
            <rFont val="Tahoma"/>
            <family val="2"/>
          </rPr>
          <t>Cetak Sertifikat :
1. 6 org x 9 kec = 54
2. 8 org Pemateri</t>
        </r>
        <r>
          <rPr>
            <sz val="9"/>
            <color indexed="81"/>
            <rFont val="Tahoma"/>
            <family val="2"/>
          </rPr>
          <t xml:space="preserve">
</t>
        </r>
      </text>
    </comment>
    <comment ref="Q92" authorId="0" shapeId="0">
      <text>
        <r>
          <rPr>
            <b/>
            <sz val="9"/>
            <color indexed="81"/>
            <rFont val="Tahoma"/>
            <family val="2"/>
          </rPr>
          <t>Author:</t>
        </r>
        <r>
          <rPr>
            <sz val="9"/>
            <color indexed="81"/>
            <rFont val="Tahoma"/>
            <family val="2"/>
          </rPr>
          <t xml:space="preserve">
Peserta (27 org)
Dewan Juri (3 org)</t>
        </r>
      </text>
    </comment>
    <comment ref="M93" authorId="0" shapeId="0">
      <text>
        <r>
          <rPr>
            <b/>
            <sz val="9"/>
            <color indexed="81"/>
            <rFont val="Tahoma"/>
            <family val="2"/>
          </rPr>
          <t>Author:</t>
        </r>
        <r>
          <rPr>
            <sz val="9"/>
            <color indexed="81"/>
            <rFont val="Tahoma"/>
            <family val="2"/>
          </rPr>
          <t xml:space="preserve">
Peserta (27 org)
Dewan Juri (3 org)</t>
        </r>
      </text>
    </comment>
    <comment ref="M102" authorId="0" shapeId="0">
      <text>
        <r>
          <rPr>
            <b/>
            <sz val="9"/>
            <color indexed="81"/>
            <rFont val="Tahoma"/>
            <family val="2"/>
          </rPr>
          <t>Makan Minum:
- 54 peserta
- 12 Panitia dan pendukung kegiatan
- 2 pemateri
- 2 Moderator
- 2 Kebersihan</t>
        </r>
      </text>
    </comment>
    <comment ref="Q102" authorId="0" shapeId="0">
      <text>
        <r>
          <rPr>
            <b/>
            <sz val="9"/>
            <color indexed="81"/>
            <rFont val="Tahoma"/>
            <family val="2"/>
          </rPr>
          <t>Makan Minum:
- 54 peserta
- 12 Panitia dan pendukung kegiatan
- 2 pemateri
- 2 Moderator
- 2 Kebersihan</t>
        </r>
      </text>
    </comment>
    <comment ref="M103" authorId="0" shapeId="0">
      <text>
        <r>
          <rPr>
            <b/>
            <sz val="9"/>
            <color indexed="81"/>
            <rFont val="Tahoma"/>
            <family val="2"/>
          </rPr>
          <t>Makan Minum:
- 54 peserta
- 12 Panitia dan pendukung kegiatan
- 2 pemateri
- 2 Moderator
- 2 Kebersihan</t>
        </r>
      </text>
    </comment>
    <comment ref="Q103" authorId="0" shapeId="0">
      <text>
        <r>
          <rPr>
            <b/>
            <sz val="9"/>
            <color indexed="81"/>
            <rFont val="Tahoma"/>
            <family val="2"/>
          </rPr>
          <t>Makan Minum:
- 54 peserta
- 12 Panitia dan pendukung kegiatan
- 2 pemateri
- 2 Moderator
- 2 Kebersihan</t>
        </r>
      </text>
    </comment>
    <comment ref="M104" authorId="0" shapeId="0">
      <text>
        <r>
          <rPr>
            <b/>
            <sz val="9"/>
            <color indexed="81"/>
            <rFont val="Tahoma"/>
            <family val="2"/>
          </rPr>
          <t>Author:</t>
        </r>
        <r>
          <rPr>
            <sz val="9"/>
            <color indexed="81"/>
            <rFont val="Tahoma"/>
            <family val="2"/>
          </rPr>
          <t xml:space="preserve">
- Peserta (27 org)
- Pendamping (9 org)
- Dewan Juri (3 org)
- Panitia (15 org)
- Tenaga Kebersihan (2 org) 
- Tenaga Operator (1 org)
- MC (1 org)
- Moderator (1 org)</t>
        </r>
      </text>
    </comment>
    <comment ref="Q104" authorId="0" shapeId="0">
      <text>
        <r>
          <rPr>
            <b/>
            <sz val="9"/>
            <color indexed="81"/>
            <rFont val="Tahoma"/>
            <family val="2"/>
          </rPr>
          <t>Makan Minum:
- 54 peserta
- 12 Panitia dan pendukung kegiatan
- 2 pemateri
- 2 Moderator
- 2 Kebersihan</t>
        </r>
      </text>
    </comment>
    <comment ref="M105" authorId="0" shapeId="0">
      <text>
        <r>
          <rPr>
            <b/>
            <sz val="9"/>
            <color indexed="81"/>
            <rFont val="Tahoma"/>
            <family val="2"/>
          </rPr>
          <t>Author:</t>
        </r>
        <r>
          <rPr>
            <sz val="9"/>
            <color indexed="81"/>
            <rFont val="Tahoma"/>
            <family val="2"/>
          </rPr>
          <t xml:space="preserve">
sama dengan snack</t>
        </r>
      </text>
    </comment>
    <comment ref="Q105" authorId="0" shapeId="0">
      <text>
        <r>
          <rPr>
            <b/>
            <sz val="9"/>
            <color indexed="81"/>
            <rFont val="Tahoma"/>
            <family val="2"/>
          </rPr>
          <t>Makan Minum:
- 54 peserta
- 12 Panitia dan pendukung kegiatan
- 2 pemateri
- 2 Moderator
- 2 Kebersihan</t>
        </r>
      </text>
    </comment>
    <comment ref="M106" authorId="0" shapeId="0">
      <text>
        <r>
          <rPr>
            <b/>
            <sz val="9"/>
            <color indexed="81"/>
            <rFont val="Tahoma"/>
            <family val="2"/>
          </rPr>
          <t>Author:</t>
        </r>
        <r>
          <rPr>
            <sz val="9"/>
            <color indexed="81"/>
            <rFont val="Tahoma"/>
            <family val="2"/>
          </rPr>
          <t xml:space="preserve">
27 orang peserta
9 orang Pendamping
3 orang Dewan Juri
15 orang Panitia
2 orang Tenaga Kebersihan
2 orang Operator
2 orang pembaca soal
2 orang Petugas Papan skor</t>
        </r>
      </text>
    </comment>
    <comment ref="Q106" authorId="0" shapeId="0">
      <text>
        <r>
          <rPr>
            <b/>
            <sz val="9"/>
            <color indexed="81"/>
            <rFont val="Tahoma"/>
            <family val="2"/>
          </rPr>
          <t>Makan Minum:
- 54 peserta
- 12 Panitia dan pendukung kegiatan
- 2 pemateri
- 2 Moderator
- 2 Kebersihan</t>
        </r>
      </text>
    </comment>
    <comment ref="M107" authorId="0" shapeId="0">
      <text>
        <r>
          <rPr>
            <b/>
            <sz val="9"/>
            <color indexed="81"/>
            <rFont val="Tahoma"/>
            <family val="2"/>
          </rPr>
          <t>Author:</t>
        </r>
        <r>
          <rPr>
            <sz val="9"/>
            <color indexed="81"/>
            <rFont val="Tahoma"/>
            <family val="2"/>
          </rPr>
          <t xml:space="preserve">
- Peserta (27 org)
- Pendamping (9 org)
- Dewan Juri (3 org)
- Panitia (15 org)
- Tenaga Absensi (2 org)
- Tenaga Kebersihan (2 org) 
- Tenaga Operator (1 org)
- Tenaga Fotografer (1 org)
- MC (1 org)
- Pembaca Alquran + doa (1 org)
- Pembaca Soal (2 org)
- Petugas Papan Skor (1 org)
- Undangan VIP (10 org)
- Undangan Ka. SKPK (45 org)
- Sporter (40 org) 5 org/kec</t>
        </r>
      </text>
    </comment>
    <comment ref="Q107" authorId="0" shapeId="0">
      <text>
        <r>
          <rPr>
            <b/>
            <sz val="9"/>
            <color indexed="81"/>
            <rFont val="Tahoma"/>
            <family val="2"/>
          </rPr>
          <t>Author:</t>
        </r>
        <r>
          <rPr>
            <sz val="9"/>
            <color indexed="81"/>
            <rFont val="Tahoma"/>
            <family val="2"/>
          </rPr>
          <t xml:space="preserve">
- Peserta (27 org)
- Pendamping (9 org)
- Dewan Juri (3 org)
- Panitia (15 org)
- Tenaga Kebersihan (2 org) 
- Tenaga Operator (1 org)
- MC (1 org)
- Moderator (1 org)</t>
        </r>
      </text>
    </comment>
    <comment ref="Q108" authorId="0" shapeId="0">
      <text>
        <r>
          <rPr>
            <b/>
            <sz val="9"/>
            <color indexed="81"/>
            <rFont val="Tahoma"/>
            <family val="2"/>
          </rPr>
          <t>Author:</t>
        </r>
        <r>
          <rPr>
            <sz val="9"/>
            <color indexed="81"/>
            <rFont val="Tahoma"/>
            <family val="2"/>
          </rPr>
          <t xml:space="preserve">
sama dengan snack</t>
        </r>
      </text>
    </comment>
  </commentList>
</comments>
</file>

<file path=xl/sharedStrings.xml><?xml version="1.0" encoding="utf-8"?>
<sst xmlns="http://schemas.openxmlformats.org/spreadsheetml/2006/main" count="5999" uniqueCount="1271">
  <si>
    <t>btl</t>
  </si>
  <si>
    <t>Belanja Makanan dan Minuman Pegawai</t>
  </si>
  <si>
    <t>tahun</t>
  </si>
  <si>
    <t>JUMLAH ANGGARAN</t>
  </si>
  <si>
    <t>Pemeliharaan Rutin/Berkala Kendaraan Dinas/Operasional</t>
  </si>
  <si>
    <t xml:space="preserve">Tunjangan Jabatan </t>
  </si>
  <si>
    <t>Belanja Pegawai</t>
  </si>
  <si>
    <t>6=(3x5)</t>
  </si>
  <si>
    <t>Satuan</t>
  </si>
  <si>
    <t>Gaji Pokok PNS / Representasi</t>
  </si>
  <si>
    <t>Target Kinerja (Kuatitatif)</t>
  </si>
  <si>
    <t>KOTA BANDA ACEH</t>
  </si>
  <si>
    <t>Kode Rekening</t>
  </si>
  <si>
    <t>Indikator</t>
  </si>
  <si>
    <t xml:space="preserve">Capaian Program </t>
  </si>
  <si>
    <t xml:space="preserve">                                                                                         Jumlah</t>
  </si>
  <si>
    <t>Tambahan Penghasilan Berdasarkan Prestasi Kerja</t>
  </si>
  <si>
    <t>00</t>
  </si>
  <si>
    <t>KODE</t>
  </si>
  <si>
    <t>NAMA FORMULIR</t>
  </si>
  <si>
    <t>PEMERINTAH KOTA BANDA ACEH</t>
  </si>
  <si>
    <t>URUSAN PEMERINTAHAN</t>
  </si>
  <si>
    <t>ORGANISASI</t>
  </si>
  <si>
    <t>Pengguna Anggaran</t>
  </si>
  <si>
    <t>a. Nama</t>
  </si>
  <si>
    <t>b. Nip</t>
  </si>
  <si>
    <t>c. Jabatan</t>
  </si>
  <si>
    <t>Daftar Nominatif Pegawai (PNS) Satuan Kerja Perangkat Daerah</t>
  </si>
  <si>
    <t>Daftar Nominatif Pegawai Non PNS Satuan Kerja Perangkat Daerah</t>
  </si>
  <si>
    <t>Daftar Rincian Belanja Gaji Dan Tunjangan Pegawai Satuan Kerja Perangkat Daerah</t>
  </si>
  <si>
    <t>Daftar Jumlah Pegawai Per Golongan dan Per Eselon Satuan Kerja Perangkat Daerah</t>
  </si>
  <si>
    <t>PENDAPATAN DAERAH</t>
  </si>
  <si>
    <t>Pendapatan Asli Daerah</t>
  </si>
  <si>
    <t>0 1</t>
  </si>
  <si>
    <t>0 7</t>
  </si>
  <si>
    <t>0 2</t>
  </si>
  <si>
    <t>0 3</t>
  </si>
  <si>
    <t>BELANJA DAERAH</t>
  </si>
  <si>
    <t>Belanja Tidak Langsung</t>
  </si>
  <si>
    <t>BELANJA PEGAWAI</t>
  </si>
  <si>
    <t>Gaji dan Tunjangan</t>
  </si>
  <si>
    <t>Retribusi Daerah</t>
  </si>
  <si>
    <t>Belanja Barang dan Jasa</t>
  </si>
  <si>
    <t>Belanja Modal</t>
  </si>
  <si>
    <t>Belanja Langsung</t>
  </si>
  <si>
    <t>Tunjangan Keluarga</t>
  </si>
  <si>
    <t>Tunjangan Fungsional Umum</t>
  </si>
  <si>
    <t>Tunjangan Beras</t>
  </si>
  <si>
    <t>Tunjangan PPh/Tunjangan Khusus</t>
  </si>
  <si>
    <t>Pembulatan Gaji</t>
  </si>
  <si>
    <t>Tambahan Penghasilan PNS</t>
  </si>
  <si>
    <t>Tambahan Penghasilan Berdasarkan Beban Kerja</t>
  </si>
  <si>
    <t>OB</t>
  </si>
  <si>
    <t>BELANJA TIDAK LANGSUNG</t>
  </si>
  <si>
    <t>BELANJA LANGSUNG</t>
  </si>
  <si>
    <t>Belanja Bahan Pakai Habis</t>
  </si>
  <si>
    <t>meter</t>
  </si>
  <si>
    <t>Belanja Jasa Kantor</t>
  </si>
  <si>
    <t>lbr</t>
  </si>
  <si>
    <t>rem</t>
  </si>
  <si>
    <t>Belanja Cetak dan Penggandaan</t>
  </si>
  <si>
    <t>unit</t>
  </si>
  <si>
    <t>0 5</t>
  </si>
  <si>
    <t>0 6</t>
  </si>
  <si>
    <t>BELANJA BARANG DAN JASA</t>
  </si>
  <si>
    <t>Belanja Penggandaan</t>
  </si>
  <si>
    <t>thn</t>
  </si>
  <si>
    <t>Thn</t>
  </si>
  <si>
    <t>Program Pelayanan Administrasi Perkantoran</t>
  </si>
  <si>
    <t xml:space="preserve">Honorarium PNS </t>
  </si>
  <si>
    <t>Belanja Alat Tulis Kantor</t>
  </si>
  <si>
    <t>bh</t>
  </si>
  <si>
    <t>Jasa Komunikasi, sumber daya air dan listrik</t>
  </si>
  <si>
    <t>Belanja Air</t>
  </si>
  <si>
    <t>Belanja Listrik</t>
  </si>
  <si>
    <t>Penyediaan Alat Tulis Kantor</t>
  </si>
  <si>
    <t>Penyediaan Barang Cetakan dan Penggandaan</t>
  </si>
  <si>
    <t>Belanja Cetak</t>
  </si>
  <si>
    <t>Penyediaan Komponen Instalasi Listrik/penerangan Bangunan Kantor</t>
  </si>
  <si>
    <t>Penyediaan Makanan dan Minuman</t>
  </si>
  <si>
    <t>Belanja Perjalanan Dinas</t>
  </si>
  <si>
    <t>Belanja Perawatan Kenderaan Bermotor</t>
  </si>
  <si>
    <t>ob</t>
  </si>
  <si>
    <t>PENYEDIAAN JASA KOMUNIKASI, SDA &amp; LISTRIK</t>
  </si>
  <si>
    <t>01</t>
  </si>
  <si>
    <t>Honorarium Panitia Pelaksana Kegiatan</t>
  </si>
  <si>
    <t>06</t>
  </si>
  <si>
    <t>02</t>
  </si>
  <si>
    <t>Ob</t>
  </si>
  <si>
    <t>Rem</t>
  </si>
  <si>
    <t>Banda Aceh</t>
  </si>
  <si>
    <t>Belanja Alat Tulis kantor</t>
  </si>
  <si>
    <t>BELANJA MODAL</t>
  </si>
  <si>
    <t>PENINGKATAN SARANA DAN PRASARANA APARATUR</t>
  </si>
  <si>
    <t>09</t>
  </si>
  <si>
    <t>Peningkatan Sarana dan Prasarana Aparatur</t>
  </si>
  <si>
    <t>Honorarium PNS</t>
  </si>
  <si>
    <t>03</t>
  </si>
  <si>
    <t>PENYEDIAAN JASA KEBERSIHAN KANTOR</t>
  </si>
  <si>
    <t>08</t>
  </si>
  <si>
    <t>kl</t>
  </si>
  <si>
    <t>05</t>
  </si>
  <si>
    <t>Belanja Peralatan Kebersihan dan Bahan Pembersih</t>
  </si>
  <si>
    <t>10</t>
  </si>
  <si>
    <t>PENYEDIAAN ALAT TULIS KANTOR</t>
  </si>
  <si>
    <t>PENYEDIAAN BARANG CETAK DAN PENGGANDAAN</t>
  </si>
  <si>
    <t>PENYEDIAAN MAKANAN DAN MINUMAN</t>
  </si>
  <si>
    <t>Honorarium Non PNS</t>
  </si>
  <si>
    <t>Ok</t>
  </si>
  <si>
    <t>07</t>
  </si>
  <si>
    <t>PELAYANAN ADMINISTRASI PERKANTORAN</t>
  </si>
  <si>
    <t>Belanja Barang Pakai Habis</t>
  </si>
  <si>
    <t>04</t>
  </si>
  <si>
    <t xml:space="preserve">RENCANA KERJA DAN ANGGARAN </t>
  </si>
  <si>
    <t>SATUAN KERJA PERANGKAT DAERAH</t>
  </si>
  <si>
    <t>Urusan Pemerintahan</t>
  </si>
  <si>
    <t>:</t>
  </si>
  <si>
    <t xml:space="preserve">Organisasi </t>
  </si>
  <si>
    <t>Satuan Kerja Perangkat Daerah</t>
  </si>
  <si>
    <t xml:space="preserve">Kode </t>
  </si>
  <si>
    <t xml:space="preserve">Rekening </t>
  </si>
  <si>
    <t>Uraian</t>
  </si>
  <si>
    <t xml:space="preserve">Jumlah </t>
  </si>
  <si>
    <t>(Rp)</t>
  </si>
  <si>
    <t>Surplus/ (Defisit)</t>
  </si>
  <si>
    <t>Rincian Penghitungan</t>
  </si>
  <si>
    <t>Jumlah</t>
  </si>
  <si>
    <t>Volume</t>
  </si>
  <si>
    <t>2.</t>
  </si>
  <si>
    <t>Harga satuan</t>
  </si>
  <si>
    <t>Organisasi</t>
  </si>
  <si>
    <t>Program</t>
  </si>
  <si>
    <t>Kegiatan</t>
  </si>
  <si>
    <t>Tolok Ukur Kinerja</t>
  </si>
  <si>
    <t>Target Kinerja</t>
  </si>
  <si>
    <t>Masukan</t>
  </si>
  <si>
    <t>Keluaran</t>
  </si>
  <si>
    <t>Hasil</t>
  </si>
  <si>
    <t>Kode</t>
  </si>
  <si>
    <t>Tahun</t>
  </si>
  <si>
    <t>Lokasi Kegiatan</t>
  </si>
  <si>
    <t>Belanja Propaganda dan Dokumentasi</t>
  </si>
  <si>
    <t>NO</t>
  </si>
  <si>
    <t>NIP</t>
  </si>
  <si>
    <t>JABATAN</t>
  </si>
  <si>
    <t>TIM ANGGARAN PEMERINTAH DAERAH</t>
  </si>
  <si>
    <t>TANDA TANGAN</t>
  </si>
  <si>
    <t>botol</t>
  </si>
  <si>
    <t>1.25.01.15</t>
  </si>
  <si>
    <t>12 bln</t>
  </si>
  <si>
    <t>OK</t>
  </si>
  <si>
    <t>ktk</t>
  </si>
  <si>
    <t>Run on 09/04/2010 10:48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</si>
  <si>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</si>
  <si>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</si>
  <si>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</si>
  <si>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</si>
  <si>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'PAD'!H72:H75</t>
  </si>
  <si>
    <t>Kualitas informasi program pemerintah bagi masyarakat</t>
  </si>
  <si>
    <t>Belanja Pemeliharaan</t>
  </si>
  <si>
    <t>Compatibility Report for PRA RKA 2012 (30-3-10).XLS</t>
  </si>
  <si>
    <t>Belanja Iuran</t>
  </si>
  <si>
    <t>Honorarium panitia pelaksana kegiatan</t>
  </si>
  <si>
    <t>1.25.01.15.06</t>
  </si>
  <si>
    <t>keg</t>
  </si>
  <si>
    <t>Belanja Surat Tanda  Nomor Kenderaan</t>
  </si>
  <si>
    <t>Pemeliharaan rutin/berkala peralatan gedung kantor</t>
  </si>
  <si>
    <t>Belanja Perjalanan Dinas ke Luar Daerah</t>
  </si>
  <si>
    <t xml:space="preserve">-  Perjalanan Dinas Luar Daerah </t>
  </si>
  <si>
    <t>Honorarium  PNS</t>
  </si>
  <si>
    <t>- Biaya Air Selama 1 (satu) Tahun</t>
  </si>
  <si>
    <t>Belanja Alat Listrik dan Elektronik</t>
  </si>
  <si>
    <t>Honorarium Tim pengadaan barang dan jasa</t>
  </si>
  <si>
    <t>Honorarium pegawai honorer/tidak tetap</t>
  </si>
  <si>
    <t>Honorarium Tim teknis</t>
  </si>
  <si>
    <t>Honorarium tenaga pendukung kegiatan</t>
  </si>
  <si>
    <t>kali</t>
  </si>
  <si>
    <t>set</t>
  </si>
  <si>
    <t>Kelompok Sasaran Kegiatan : Kantor Dishubkominfo</t>
  </si>
  <si>
    <t>Kelompok Sasaran Kegiatan : Pegawai pada Dishubkominfo</t>
  </si>
  <si>
    <t>mtr</t>
  </si>
  <si>
    <t>Sarana dan prasarana informatika</t>
  </si>
  <si>
    <t>Kelompok Sasaran Kegiatan : Pengguna informasi</t>
  </si>
  <si>
    <t xml:space="preserve"> - Honor Petugas MC</t>
  </si>
  <si>
    <t xml:space="preserve"> - Honor Pembaca Al-Qur'an</t>
  </si>
  <si>
    <t xml:space="preserve"> - Honor Pembaca Doa</t>
  </si>
  <si>
    <t xml:space="preserve"> - Honor Petugas Kebersihan tempat</t>
  </si>
  <si>
    <t>Belanja Makanan dan Minuman</t>
  </si>
  <si>
    <t>Belanja Makanan dan Minuman Kegiatan</t>
  </si>
  <si>
    <t>ok</t>
  </si>
  <si>
    <t>Rapat-Rapat Koordinasi dan Konsultasi ke Luar Daerah</t>
  </si>
  <si>
    <t>Peningkatan  informasi program pemerintah daerah</t>
  </si>
  <si>
    <t>klg</t>
  </si>
  <si>
    <t>musrenbang</t>
  </si>
  <si>
    <t>Belanja Pemeliharaan Peralatan dan Perlengkapan Kantor</t>
  </si>
  <si>
    <t>selisih</t>
  </si>
  <si>
    <t>- peserta</t>
  </si>
  <si>
    <t>- dewan juri</t>
  </si>
  <si>
    <t>- panitia</t>
  </si>
  <si>
    <t>eks</t>
  </si>
  <si>
    <t>Belanja Pakaian Khusus Hari-hari Tertentu</t>
  </si>
  <si>
    <t>dus</t>
  </si>
  <si>
    <t>Kelompok Sasaran Kegiatan : Kelompok informasi gampong</t>
  </si>
  <si>
    <t xml:space="preserve"> - OTSUS</t>
  </si>
  <si>
    <t xml:space="preserve"> - APBK</t>
  </si>
  <si>
    <t>Rp</t>
  </si>
  <si>
    <t>Belanja kawat/ Internet</t>
  </si>
  <si>
    <t xml:space="preserve">- Biaya Iuran Izin Frekwensi HT  </t>
  </si>
  <si>
    <t>1.25.01.15.07</t>
  </si>
  <si>
    <t>Perencanaan dan Pengembangan Kebijakan Komunikasi dan Informasi</t>
  </si>
  <si>
    <t>Belanja Jasa tenaga ahli/instruktur/narasumber</t>
  </si>
  <si>
    <t>RESES</t>
  </si>
  <si>
    <t>Pagu+reses 2016</t>
  </si>
  <si>
    <t>mkn</t>
  </si>
  <si>
    <t>hnr</t>
  </si>
  <si>
    <t>mbl</t>
  </si>
  <si>
    <t>Selisih</t>
  </si>
  <si>
    <t>perlengkapan pdh</t>
  </si>
  <si>
    <t>DAK</t>
  </si>
  <si>
    <t>OTSUS</t>
  </si>
  <si>
    <t>APBK</t>
  </si>
  <si>
    <t>pagu awal 2016</t>
  </si>
  <si>
    <t>rencn psi</t>
  </si>
  <si>
    <t>rencn darat</t>
  </si>
  <si>
    <t>Belanja Modal Pengadaan Komputer</t>
  </si>
  <si>
    <t>m</t>
  </si>
  <si>
    <t>18.274.941.438</t>
  </si>
  <si>
    <t xml:space="preserve">  </t>
  </si>
  <si>
    <t>Pembinaan dan Pengembangan Kelompok Informasi Gampong</t>
  </si>
  <si>
    <t>Belanja jasa  tenaga ahli/instruktur/narasumber</t>
  </si>
  <si>
    <t>- cetak sertifikat</t>
  </si>
  <si>
    <t>lembar</t>
  </si>
  <si>
    <t>Kegiatan Penyebarluasan Informasi yang bersifat Penyuluhan bagi masyarakat</t>
  </si>
  <si>
    <t>Belanja Jasa Tenaga Ahli / Instruktur/narasumber</t>
  </si>
  <si>
    <t>DAK IP</t>
  </si>
  <si>
    <t>REKAP RENCANA KERJA DAN ANGGARAN  (RKA) 2017</t>
  </si>
  <si>
    <t>apbk</t>
  </si>
  <si>
    <t>KOMUNIKASI DAN INFORMATIKA</t>
  </si>
  <si>
    <t>: 1.25.     KOMUNIKASI DAN INFORMATIKA</t>
  </si>
  <si>
    <t>25</t>
  </si>
  <si>
    <t>1.25.01</t>
  </si>
  <si>
    <t>1.25</t>
  </si>
  <si>
    <t>1.25.01.01</t>
  </si>
  <si>
    <t>1.25.01.01.02</t>
  </si>
  <si>
    <t>1.25.01.01.08</t>
  </si>
  <si>
    <t>1.25.01.01.10</t>
  </si>
  <si>
    <t>1.25.01.01.11</t>
  </si>
  <si>
    <t>1.25.01.01.12</t>
  </si>
  <si>
    <t>1.25.01.01.17</t>
  </si>
  <si>
    <t>1.25.01.01.18</t>
  </si>
  <si>
    <t>1.25.01.01.20</t>
  </si>
  <si>
    <t>1.25.01.02</t>
  </si>
  <si>
    <t>1.25.01.02.24</t>
  </si>
  <si>
    <t>1.25.01.02.28</t>
  </si>
  <si>
    <t>1.25.01.18</t>
  </si>
  <si>
    <t>1.25.01.18.01</t>
  </si>
  <si>
    <t>1.25.01.18.02</t>
  </si>
  <si>
    <t>1.25.01.18.03</t>
  </si>
  <si>
    <t>- Biaya Listrik Kantor</t>
  </si>
  <si>
    <t>Pagu 2017 kominfo</t>
  </si>
  <si>
    <t>DINAS KOMUNIKASI, INFORMASI dan STATISTIKA</t>
  </si>
  <si>
    <t>: 1.25.01. DINAS KOMUNIKASI, INFORMASI dan STATISTIKA</t>
  </si>
  <si>
    <t>DINAS  KOMUNIKASI, INFORMASI  DAN STATISTIKA</t>
  </si>
  <si>
    <t>BL Terdiri dari Anggaran :</t>
  </si>
  <si>
    <t>- Biaya langganan internet speedy</t>
  </si>
  <si>
    <t>Belanja Surat kabar</t>
  </si>
  <si>
    <t xml:space="preserve"> - belanja langganan surat kabar (2 eks x 12 bln)</t>
  </si>
  <si>
    <t>Iuran Jaminan Kecelakaan Kerja</t>
  </si>
  <si>
    <t>Iuran Jaminan Kematian</t>
  </si>
  <si>
    <t>Sesudah Perubahan</t>
  </si>
  <si>
    <t>Sebelum perubahan</t>
  </si>
  <si>
    <t xml:space="preserve"> Satuan Kerja Perangkat Daerah </t>
  </si>
  <si>
    <t>Bertambah/Berkurang</t>
  </si>
  <si>
    <t>%</t>
  </si>
  <si>
    <t>11=(10-6)</t>
  </si>
  <si>
    <t>10=(7x9)</t>
  </si>
  <si>
    <t>Formulir RKA</t>
  </si>
  <si>
    <t>NOMOR DPA SKPD</t>
  </si>
  <si>
    <t>DOKUMEN PELAKSANAAN PERUBAHAN ANGGARAN</t>
  </si>
  <si>
    <t>Program pengembangan komunikasi, informasi dan media massa</t>
  </si>
  <si>
    <t>Perubahan Indikator &amp; Tolok Ukur Kinerja Belanja Langsung</t>
  </si>
  <si>
    <t>Sesudah perubahan</t>
  </si>
  <si>
    <t>Rincian Perubahan Anggaran Belanja Langsung Program dan Per Kegiatan Satuan Kerja Perangkat Daerah</t>
  </si>
  <si>
    <t>DPPA-SKPD 2.2.1</t>
  </si>
  <si>
    <t>Mengesahkan,</t>
  </si>
  <si>
    <t>Pejabat Pengelola Keuangan Daerah</t>
  </si>
  <si>
    <t xml:space="preserve">Rencana Penarikan Dana per Triwulan </t>
  </si>
  <si>
    <t xml:space="preserve">1. </t>
  </si>
  <si>
    <t>4.</t>
  </si>
  <si>
    <t>5.</t>
  </si>
  <si>
    <t>6.</t>
  </si>
  <si>
    <t>7.</t>
  </si>
  <si>
    <t>3.</t>
  </si>
  <si>
    <t>Triwulan I       :</t>
  </si>
  <si>
    <t>Triwulan II       :</t>
  </si>
  <si>
    <t>Triwulan III       :</t>
  </si>
  <si>
    <t>Triwulan IV       :</t>
  </si>
  <si>
    <t>JUmlah       :</t>
  </si>
  <si>
    <t>Azmi, SH</t>
  </si>
  <si>
    <t>Basri, SE, M.Si</t>
  </si>
  <si>
    <t>Harisman, S.STP, M.Ec.Dev</t>
  </si>
  <si>
    <t>Alriandi, S.STP, M.Si</t>
  </si>
  <si>
    <t>KEPALA BAPPEDA</t>
  </si>
  <si>
    <t>KEPALA BAGIAN HUKUM</t>
  </si>
  <si>
    <t>KEPALA BAGIAN PEMBANGUNAN</t>
  </si>
  <si>
    <t>SEKRETARIS BPKK</t>
  </si>
  <si>
    <t>KEPALA BIDANG AKUTANSI</t>
  </si>
  <si>
    <t>KEPALA BIDANG ASET</t>
  </si>
  <si>
    <t>KEPALA BIDANG ANGGARAN</t>
  </si>
  <si>
    <t>19680824 199903 1 004</t>
  </si>
  <si>
    <t>19691213 199403 1 002</t>
  </si>
  <si>
    <t>19830101 200112 1 003</t>
  </si>
  <si>
    <t>19830308 200112 1 001</t>
  </si>
  <si>
    <t>1.25.01.15.07.5.2.</t>
  </si>
  <si>
    <t xml:space="preserve">UrusanPemerintahan          :                 </t>
  </si>
  <si>
    <t>Organisasi                         :</t>
  </si>
  <si>
    <t>Program                           :</t>
  </si>
  <si>
    <t>Waktu Pelaksanaan            :</t>
  </si>
  <si>
    <t>Kegiatan                           :</t>
  </si>
  <si>
    <t>Lokasi  kegiatan                 :</t>
  </si>
  <si>
    <t>Latar belakang perubahan/dianggarkan dalam perubahan APBD                   :</t>
  </si>
  <si>
    <t>1.25.01.18.01.5.2.</t>
  </si>
  <si>
    <t>-</t>
  </si>
  <si>
    <t xml:space="preserve">Program Kerjasama Informasi dan Media Masa </t>
  </si>
  <si>
    <t>Kegiatan Penyebarluasan Informasi Pembangunan Daerah</t>
  </si>
  <si>
    <t>1.25.01.18.02.5.2.</t>
  </si>
  <si>
    <t>Kegiatan Penyebarluasan Informasi Penyelenggaraan Pemerintah Daerah</t>
  </si>
  <si>
    <t>1.25.01.18.03.5.2.</t>
  </si>
  <si>
    <t>1.25.01.15.06.5.2.</t>
  </si>
  <si>
    <t>Kegiatan Pengkajian dan pengembangan sistem informasi</t>
  </si>
  <si>
    <t>Kelompok Sasaran Kegiatan : Pengguna jasa informatika</t>
  </si>
  <si>
    <t>1.25.01.02.28.5.2.</t>
  </si>
  <si>
    <t>1.25.01.02.24.5.2.</t>
  </si>
  <si>
    <t>Kelompok Sasaran Kegiatan : Kendaraan Dinas Kantor Dishubkominfo Kota Banda Aceh</t>
  </si>
  <si>
    <t>Kelompok Sasaran Kegiatan : Pengguna Jasa Kantor</t>
  </si>
  <si>
    <t>Kelompok Sasaran Kegiatan : Peralatan Gedung Kantor</t>
  </si>
  <si>
    <t>Penyediaan Jasa Tenaga Pendukung ADM/ Teknis Perkantoran</t>
  </si>
  <si>
    <t>1.25.01.01.20.5.2.</t>
  </si>
  <si>
    <t>Kelompok Sasaran Kegiatan : Tenaga Adm/Teknis Perkantoran non PNS</t>
  </si>
  <si>
    <t>1.25.01.01.18.5.2.</t>
  </si>
  <si>
    <t>1.25.01.01.17.5.2.</t>
  </si>
  <si>
    <t>1.25.01.01.12.5.2.</t>
  </si>
  <si>
    <t xml:space="preserve">12 bln </t>
  </si>
  <si>
    <t>1.25.01.01.11.5.2.</t>
  </si>
  <si>
    <t>1.25.01.01.10.5.2.</t>
  </si>
  <si>
    <t>1.25.01.01.08.5.2.</t>
  </si>
  <si>
    <t>Kelompok Sasaran Kegiatan : Ruangan dan lingkungan Kantor Dishubkominfo</t>
  </si>
  <si>
    <t>1.25.01.01.02.5.2.</t>
  </si>
  <si>
    <t xml:space="preserve"> DPPA - SKPD</t>
  </si>
  <si>
    <t>( DPPA - SKPD )</t>
  </si>
  <si>
    <t>DPPA - SKPD</t>
  </si>
  <si>
    <t>DPPA - SKPD 1</t>
  </si>
  <si>
    <t>DPPA - SKPD 2.1</t>
  </si>
  <si>
    <t>DPPA - SKPD 2.2</t>
  </si>
  <si>
    <t>DPPA - SKPD 2.2.1</t>
  </si>
  <si>
    <t>LAMPIRAN : 1 DPPA-SKPD</t>
  </si>
  <si>
    <t>LAMPIRAN : 2 DPPA-SKPD</t>
  </si>
  <si>
    <t>LAMPIRAN : 4 DPPA-SKPD</t>
  </si>
  <si>
    <t xml:space="preserve">Rincian Dokumen Pelaksanaan Perubahan Anggaran Belanja Langsung Menurut </t>
  </si>
  <si>
    <t>Perangkat Daerah Program dan Per Kegiatan Satuan Kerja Perangkat Daerah</t>
  </si>
  <si>
    <t xml:space="preserve">Rekapitulasi Rincian Dokumen Pelaksanaan Perubahan Anggaran Belanja Langsung </t>
  </si>
  <si>
    <t>Menurut Program dan Kegiatan Satuan Kerja Perangkat Daerah</t>
  </si>
  <si>
    <t>Rincian Dokumen Pelaksanaan Perubahan Anggaran Belanja Tidak Langsung Satuan Kerja Perangkat Daerah</t>
  </si>
  <si>
    <t>Rincian Dokumen Pelaksanaan Perubahan Anggaran Pendapatan Satuan Kerja Perangkat Daerah</t>
  </si>
  <si>
    <t>Ringkasan Dokumen Pelaksanaan Perubahan Anggaran Pendapatan, Belanja dan Pembiayaan Satuan Kerja Perangkat Daerah</t>
  </si>
  <si>
    <t>LAMPIRAN : 3  DPPA-SKPD</t>
  </si>
  <si>
    <t xml:space="preserve">Ringkasan Dokumen Pelaksanaan Perubahan Anggaran  </t>
  </si>
  <si>
    <t xml:space="preserve">Formulir   DPPA - SKPD </t>
  </si>
  <si>
    <t>Jumlah (Rp)</t>
  </si>
  <si>
    <t>Bertambah/ (berkurang)</t>
  </si>
  <si>
    <t>Sebelum Perubahan</t>
  </si>
  <si>
    <t>Setelah Perubahan</t>
  </si>
  <si>
    <t>Formulir</t>
  </si>
  <si>
    <t>DPPA-SKPD 1</t>
  </si>
  <si>
    <t xml:space="preserve">Formulir </t>
  </si>
  <si>
    <t>Latar Belakang Perubahan/Dianggarkan Dalam Perubahan APBD                  :</t>
  </si>
  <si>
    <t>Rincian Dokumen Pelaksanaan Perubahan Anggaran Belanja Tidak Langsung  Satuan Kerja Perangkat Daerah</t>
  </si>
  <si>
    <t>Tarif/Harga</t>
  </si>
  <si>
    <t>1.25.01.00.00.5.1.</t>
  </si>
  <si>
    <t>Adanya Penyesuaian Belanja Gaji Pegawai Dan Kenaikan TPK E-Kinerja</t>
  </si>
  <si>
    <t>Formulir      DPPA-SKPD  2.2</t>
  </si>
  <si>
    <t>Rekapitulasi Dokumen Pelaksanaan Perubahan Anggaran Belanja Langsung  Berdasarkan Program dan Kegiatan</t>
  </si>
  <si>
    <t>Pelayanan Administrasi Perkantoran</t>
  </si>
  <si>
    <t>Pengembangan komunikasi, informasi dan  Media massa</t>
  </si>
  <si>
    <t>Kerjasama informasi dan media masa</t>
  </si>
  <si>
    <t>Penyediaan Jasa Komunikasi, SDA dan Listrik</t>
  </si>
  <si>
    <t>Penyediaan Jasa Kebersihan Kantor</t>
  </si>
  <si>
    <t>Penyediaan Barang Cetak dan Penggandaan</t>
  </si>
  <si>
    <t>Penyediaan Komponen Instalasi Listrik /Penerangan  Bangunan Kantor</t>
  </si>
  <si>
    <t>Rapat-rapat Koordinasi dan Konsultasi Keluar Daerah</t>
  </si>
  <si>
    <t>Penyediaan Jasa Tenaga Pendukung Administrasi / teknis perkantoran</t>
  </si>
  <si>
    <t>Pemeliharaan Rutin/berkala Kendaraan Dinas / Operasional</t>
  </si>
  <si>
    <t>Pemeliharaan Rutin/Berkala Peralatan Gedung Kantor</t>
  </si>
  <si>
    <t>Pengkajian  &amp; Pengembangan Sistem Informasi</t>
  </si>
  <si>
    <t>Penyebarluasan Informasi Pembangunan Daerah</t>
  </si>
  <si>
    <t>Penyebarluasan Informasi Penyelenggaraan Pemerintahan Daerah</t>
  </si>
  <si>
    <t>Penyebarluasan Informasi Yang Bersifat Penyuluhan Bagi Masyarakat</t>
  </si>
  <si>
    <t>12 Bulan</t>
  </si>
  <si>
    <t>1 Keg</t>
  </si>
  <si>
    <t>Sumber Dana</t>
  </si>
  <si>
    <t>9=8-7</t>
  </si>
  <si>
    <t>Jumlah Pendapatan</t>
  </si>
  <si>
    <t>Belanja peg</t>
  </si>
  <si>
    <t>Belanja Brg&amp;Jasa</t>
  </si>
  <si>
    <t>Rencana Pelaksanaan Perubahan Anggaran Satuan Kerja Perangkat Daerah per Triwulan</t>
  </si>
  <si>
    <t>No</t>
  </si>
  <si>
    <t>IV</t>
  </si>
  <si>
    <t>III</t>
  </si>
  <si>
    <t>II</t>
  </si>
  <si>
    <t>I</t>
  </si>
  <si>
    <t>Triwulan</t>
  </si>
  <si>
    <t>2.1</t>
  </si>
  <si>
    <t>2.2</t>
  </si>
  <si>
    <t>Pendapatan</t>
  </si>
  <si>
    <t xml:space="preserve">Menyetujui, </t>
  </si>
  <si>
    <t>Sekretaris Daerah Kota Banda Aceh</t>
  </si>
  <si>
    <t>Ir. Bahagia, DIPL, SE</t>
  </si>
  <si>
    <t>Pembina Utama Madya /Nip. 1961128 198909 1 001</t>
  </si>
  <si>
    <t>Belanja Jasa Peningkatan dan Pemeliharaan Software</t>
  </si>
  <si>
    <t>paket</t>
  </si>
  <si>
    <t>Belanja Kursus, Pelatihan, Sosialisasi dan Bimbingan Teknis Non PNS</t>
  </si>
  <si>
    <t>- Penjaga Kantor 1 org x 12 bln</t>
  </si>
  <si>
    <t>:  Bustami, SH</t>
  </si>
  <si>
    <t>:  196308241987031004</t>
  </si>
  <si>
    <t>:  Kepala Dinas Komunikasi, Informatika dan Statistik Kota Banda Aceh</t>
  </si>
  <si>
    <t>Muhammad Syaifuddin Ambia, ST, MT</t>
  </si>
  <si>
    <t>19741010 200604 1 003</t>
  </si>
  <si>
    <t>Bustami, SH</t>
  </si>
  <si>
    <t>Iuran Asuransi Kesehatan</t>
  </si>
  <si>
    <t>Jumlah Dana Yang dibutuhkan</t>
  </si>
  <si>
    <t>Jumlah Dana Yang Dibutuhkan</t>
  </si>
  <si>
    <t>Perbulan</t>
  </si>
  <si>
    <t>- Security 2 org x 12 bln</t>
  </si>
  <si>
    <t>Belanja Modal Pengadaan Kelengkapan Komputer</t>
  </si>
  <si>
    <t>Belanja bahan bakar minyak/gas sarana mobilitas</t>
  </si>
  <si>
    <t>- BBM roda 4 M-Pustika B 3543 POV = 1 kendaraan x 6 liter x 12 bulan x 26 hari</t>
  </si>
  <si>
    <t>- BBM roda 4 BL 175 J = 1 kendaraan x 6 liter x 12 bulan x 22hari</t>
  </si>
  <si>
    <t>- BBM Mesin Genset</t>
  </si>
  <si>
    <t>liter</t>
  </si>
  <si>
    <t>1.23.01.15</t>
  </si>
  <si>
    <t>1.23.01.15.02</t>
  </si>
  <si>
    <t>Program Pengembangan Data/Informasi/Statistik Daerah</t>
  </si>
  <si>
    <t>Pengolahan,Updating dan analisis data dan Statistik daerah data dan Statistik daerah</t>
  </si>
  <si>
    <t>Kelompok Sasaran Kegiatan : SKPK</t>
  </si>
  <si>
    <t>23</t>
  </si>
  <si>
    <t>pcs</t>
  </si>
  <si>
    <t>pak</t>
  </si>
  <si>
    <t>Program pengembangan komunikasi, informasi dan Media Massa</t>
  </si>
  <si>
    <t>- Koordinator 1 org x 6 bln</t>
  </si>
  <si>
    <t>1.25.01.15.03</t>
  </si>
  <si>
    <t>Kegiatan Pembinaan dan Pengembangan Sumber Daya Komunikasi dan Informasi</t>
  </si>
  <si>
    <t>Kelompok Sasaran Kegiatan : wartawan pemula</t>
  </si>
  <si>
    <t>Pelatihan SDM dalam bidang Komunikasi dan Informasi</t>
  </si>
  <si>
    <t xml:space="preserve">Belanja Cetak  </t>
  </si>
  <si>
    <t>OJ</t>
  </si>
  <si>
    <t>- Kertas</t>
  </si>
  <si>
    <t xml:space="preserve">- Sertifikat SSL </t>
  </si>
  <si>
    <t>- Biaya kontribusi pelatihan/sertifikasi TIK</t>
  </si>
  <si>
    <t>Belanja Pemeliharaan Peralatan dan Perlengkapan Komunikasi</t>
  </si>
  <si>
    <t>- Biaya Pemeliharaan Jaringan Interkoneksi SKPK (Radio dan FO)</t>
  </si>
  <si>
    <t>- Biaya Pemeliharaan Jaringan CCTV (kamera pemantau keramaian)</t>
  </si>
  <si>
    <t>rim</t>
  </si>
  <si>
    <t>buah</t>
  </si>
  <si>
    <t>Set</t>
  </si>
  <si>
    <t>Kualitas Informasi program pemerintah bagi masyarakat</t>
  </si>
  <si>
    <t>Kelompok Sasaran Kegiatan : Mahasiswa di Kota Banda Aceh</t>
  </si>
  <si>
    <t>Kegiatan Perencanaan dan Pengembangan kebijakan komunikasi dan Informasi</t>
  </si>
  <si>
    <t>Belanja Jasa Tenaga Ahli/Instruktur/Narasumber</t>
  </si>
  <si>
    <t>KERJASAMA INFORMASI DAN MEDIA MASA</t>
  </si>
  <si>
    <t xml:space="preserve"> </t>
  </si>
  <si>
    <t xml:space="preserve">- Spidol White board </t>
  </si>
  <si>
    <t>kotak</t>
  </si>
  <si>
    <t xml:space="preserve">- Jasa liputan Berita TV </t>
  </si>
  <si>
    <t>Penyebarluasan Informasi penyelenggaraan pemerintah daerah</t>
  </si>
  <si>
    <t>Penyebarluasan Informasi yang bersifat penyuluhan bagi masyarakat</t>
  </si>
  <si>
    <t>Pembinaan dan Pengembangan Sumber Daya Komunikasi dan Informasi</t>
  </si>
  <si>
    <t>Pengembangan Data/Informasi/Statistik Daerah</t>
  </si>
  <si>
    <t>Persentase jasa komunikasi, sumber daya air dan listrik yang disediakan</t>
  </si>
  <si>
    <t>Tingkat pelayanan administrasi perkantoran yang maksimal</t>
  </si>
  <si>
    <t xml:space="preserve">Persentase jasa kebersihan kantor yang disediakan </t>
  </si>
  <si>
    <t xml:space="preserve">Jumlah waktu jasa kebersihan kantor yang disediakan </t>
  </si>
  <si>
    <t>Persentase alat tulis kantor yang disediakan</t>
  </si>
  <si>
    <t>Jumlah jenis Alat Tulis Kantor yang disediakan</t>
  </si>
  <si>
    <t xml:space="preserve">Persentase cetak dan penggandaan yang disediakan </t>
  </si>
  <si>
    <t>Jumlah jenis cetak dan penggandaan yang disediakan</t>
  </si>
  <si>
    <t>6 jenis</t>
  </si>
  <si>
    <t>Persentase komponen instalasi listrik/penerangan bangunan kantor yang disediakan</t>
  </si>
  <si>
    <t>Jumlah jenis Komponen Instalasi Listrik/Penerangan Bangunan Kantor yang disediakan</t>
  </si>
  <si>
    <t>Persentase makanan dan minuman yang disediakan</t>
  </si>
  <si>
    <t>Jumlah porsi makanan dan minuman yang disediakan</t>
  </si>
  <si>
    <t>Persentase rapat koordinasi dan konsultasi keluar daerah yang dilaksanakan</t>
  </si>
  <si>
    <t>Jumlah laporan rapat koordinasi dan konsultasi keluar daerah yang dilaksanakan</t>
  </si>
  <si>
    <t>20 lap</t>
  </si>
  <si>
    <t>Persentase jasa tenaga pendukung adminstrasi/teknis perkantoran yang disediakan</t>
  </si>
  <si>
    <t>Jumlah waktu jasa tenaga pendukung adminstrasi/teknis perkantoran yang disediakan</t>
  </si>
  <si>
    <t>Tingkat ketersediaan sarana dan prasarana</t>
  </si>
  <si>
    <t>Persentase kendaraan dinas/operasional yang dipelihara</t>
  </si>
  <si>
    <t>Jumlah pemeliharaan kendaraan dinas/operasional yang dilaksanakan</t>
  </si>
  <si>
    <t xml:space="preserve">   Binder Clips - No. 200</t>
  </si>
  <si>
    <t>box</t>
  </si>
  <si>
    <t>Persentase peralatan gedung kantor yang dipelihara</t>
  </si>
  <si>
    <t>Jumlah pemeliharaan peralatan gedung kantor yang dilaksanakan</t>
  </si>
  <si>
    <t>Honorarium tim teknis</t>
  </si>
  <si>
    <t>Honorarium Tenaga Pendukung Kegiatan</t>
  </si>
  <si>
    <t>Persentase terpenuhinya data base statistik daerah</t>
  </si>
  <si>
    <t>Jumlah dokumen data statistik yang diolah, diupdate dan dianalisis</t>
  </si>
  <si>
    <t>1 dok</t>
  </si>
  <si>
    <t>Persentase data Statistik Sektoral Kota Banda Aceh terupdate dan tepat waktu</t>
  </si>
  <si>
    <t>Persentase terwujudnya sistem pemerintahan yang berbasia TIK dan masyarakat dapat terlayani secara elektronik</t>
  </si>
  <si>
    <t xml:space="preserve">Jumlah sumber daya komunikasi dan informasi yang dibina dan dikembangkan </t>
  </si>
  <si>
    <t>30 org</t>
  </si>
  <si>
    <t>Jumlah sarana dan prasarana informatika yang tersedia</t>
  </si>
  <si>
    <t>8 unit</t>
  </si>
  <si>
    <t>Nilai Pemeringkatan Pemerintah Berbasis Elektronik</t>
  </si>
  <si>
    <t>2,65 (CC)</t>
  </si>
  <si>
    <t xml:space="preserve">Jumlah kegiatan Perencanaan komunikasi dan informatika yang dilakukan </t>
  </si>
  <si>
    <t>1 keg</t>
  </si>
  <si>
    <t>Persentase OPD yang aplikasinya terintegrasi</t>
  </si>
  <si>
    <t>Persentase terserapnya informasi pelaksanaan kepemerintahan kepada masyarakat</t>
  </si>
  <si>
    <t>5 keg</t>
  </si>
  <si>
    <t>Jumlah kegiatan informasi pemerintah yang disampaikan kepada masyarakat</t>
  </si>
  <si>
    <t>Persentese website OPD yang aktif</t>
  </si>
  <si>
    <t>Jumlah pembinaan terhadap kelompok informasi gampong yang dilaksanakan</t>
  </si>
  <si>
    <t>6 kali</t>
  </si>
  <si>
    <t>Jumlah penyuluhan KIG yang dilaksanakan</t>
  </si>
  <si>
    <t>Persentase permintaan informasi publik yang dapat dilayani</t>
  </si>
  <si>
    <t>Penyusunan dan Pengumpulan Data Statistik Daerah</t>
  </si>
  <si>
    <t>38 Jenis</t>
  </si>
  <si>
    <t>7 Jenis</t>
  </si>
  <si>
    <t>6 Jenis</t>
  </si>
  <si>
    <t>4,840 Porsi</t>
  </si>
  <si>
    <t>10 Lap</t>
  </si>
  <si>
    <t>48 Kali</t>
  </si>
  <si>
    <t>58 Kali</t>
  </si>
  <si>
    <t>1 Dok</t>
  </si>
  <si>
    <t>30 Orang</t>
  </si>
  <si>
    <t>8 Unit</t>
  </si>
  <si>
    <t>5 Keg</t>
  </si>
  <si>
    <t>6 Kali</t>
  </si>
  <si>
    <t>Kecamatan Syiah Kuala</t>
  </si>
  <si>
    <t>38 jenis</t>
  </si>
  <si>
    <t xml:space="preserve">   Kertas - HVS 70 gram  folio</t>
  </si>
  <si>
    <t xml:space="preserve">   Kertas - HVS 70 gram A4</t>
  </si>
  <si>
    <t xml:space="preserve">   Lem Cair - Tanggung (32 ml)</t>
  </si>
  <si>
    <t xml:space="preserve">   Spidol - White Board</t>
  </si>
  <si>
    <t xml:space="preserve">   Ballpoint - Refill Parker Ballpoint</t>
  </si>
  <si>
    <t xml:space="preserve">   Cartridge - Yellow/Magenta/Cyan/Black</t>
  </si>
  <si>
    <t xml:space="preserve">   Binder Clips - No. 111</t>
  </si>
  <si>
    <t xml:space="preserve">   Binder Clips - No. 155</t>
  </si>
  <si>
    <t xml:space="preserve">   Buku Agenda - Standar</t>
  </si>
  <si>
    <t xml:space="preserve">   Pita - Komputer / Cartridge</t>
  </si>
  <si>
    <t xml:space="preserve">   Correction  - Ex-0811</t>
  </si>
  <si>
    <t xml:space="preserve">   Odner/Binder - Folio Plastik</t>
  </si>
  <si>
    <t xml:space="preserve">   Odner/Binder - Folio Karton</t>
  </si>
  <si>
    <t xml:space="preserve">   Tinta - L200/L100 Black</t>
  </si>
  <si>
    <t xml:space="preserve">   Buku Tulis - Isi 38 lembar</t>
  </si>
  <si>
    <t xml:space="preserve">   Buku Ekspedisi - Isi 100 lembar</t>
  </si>
  <si>
    <t xml:space="preserve">   Buku Folio - isi 100 lembar</t>
  </si>
  <si>
    <t xml:space="preserve">   Clips/Trigonal Clip 303 - Clips/Trigonal Clip 303</t>
  </si>
  <si>
    <t xml:space="preserve">   Penjilid  - Kecil</t>
  </si>
  <si>
    <t xml:space="preserve">   Isi penjilid - Kecil</t>
  </si>
  <si>
    <t xml:space="preserve">   Pisau Cutter - Kecil</t>
  </si>
  <si>
    <t xml:space="preserve">   Pensil - Pensil 2B</t>
  </si>
  <si>
    <t xml:space="preserve">   Ballpoint - Snowman Drawing Pen 0,1</t>
  </si>
  <si>
    <t xml:space="preserve">   Isolasi Bening - Sedang</t>
  </si>
  <si>
    <t xml:space="preserve">   Pisau Cutter - Besar</t>
  </si>
  <si>
    <t xml:space="preserve">   Post it - Sedang</t>
  </si>
  <si>
    <t xml:space="preserve">   buku cek</t>
  </si>
  <si>
    <t xml:space="preserve">   Penjilid - Besar</t>
  </si>
  <si>
    <t xml:space="preserve">   Map - Swing Grip File</t>
  </si>
  <si>
    <t xml:space="preserve">   Tinta Refill - Black 100 ml</t>
  </si>
  <si>
    <t xml:space="preserve">   Tinta - 100ml Black</t>
  </si>
  <si>
    <t xml:space="preserve">   Tinta Refill - Laserjet CE 413 A/ 412 A/ 411 A/ 410 A  Black</t>
  </si>
  <si>
    <t xml:space="preserve">   Tinta Refill - 05 A</t>
  </si>
  <si>
    <t xml:space="preserve">   Toner - Catridge Laserjet Pro Cp 1025 (CE 312 A, CE 313 A )</t>
  </si>
  <si>
    <t xml:space="preserve">   Pelobang Kertas - Kecil</t>
  </si>
  <si>
    <t xml:space="preserve">   Kertas - NCR 7/8 x 11 4 Ply</t>
  </si>
  <si>
    <t>Pcs</t>
  </si>
  <si>
    <t>Unit</t>
  </si>
  <si>
    <t>Pack</t>
  </si>
  <si>
    <t>batang</t>
  </si>
  <si>
    <t>rol</t>
  </si>
  <si>
    <t>7 jenis</t>
  </si>
  <si>
    <t xml:space="preserve">   Cetak Blanko/Formulir - Bahan NCR 6 ply, cetak satu sisi isi 25 set</t>
  </si>
  <si>
    <t xml:space="preserve">   Cetak Stiker kode barang</t>
  </si>
  <si>
    <t xml:space="preserve">   Cetak amplop - Casing coklat</t>
  </si>
  <si>
    <t xml:space="preserve">   Cetak amplop - Cassing coklat</t>
  </si>
  <si>
    <t xml:space="preserve">   Cetak Blanko/Formulir - Bahan HVS 70 gram, cetak satu sisi, isi 100 lbr</t>
  </si>
  <si>
    <t xml:space="preserve">   Cetak kop surat - Bahan HVS 70 gram, cetak 1 warna</t>
  </si>
  <si>
    <t>blok</t>
  </si>
  <si>
    <t>Lbr</t>
  </si>
  <si>
    <t>pax</t>
  </si>
  <si>
    <t>Rim</t>
  </si>
  <si>
    <t xml:space="preserve">   Bola Lampu hemat energi, 36 w</t>
  </si>
  <si>
    <t xml:space="preserve">   Bola Lampu TL - 54/36 watt</t>
  </si>
  <si>
    <t xml:space="preserve">   Batu bateray kecil</t>
  </si>
  <si>
    <t xml:space="preserve">   Batu bateray sedang</t>
  </si>
  <si>
    <t xml:space="preserve">   Batu bateray besar</t>
  </si>
  <si>
    <t xml:space="preserve">   Kabel  - 2 x 1.5 Sqmm</t>
  </si>
  <si>
    <t>2.904 porsi</t>
  </si>
  <si>
    <t>porsi</t>
  </si>
  <si>
    <t>Luar Kota Banda Aceh</t>
  </si>
  <si>
    <t>- Pejabat Penerima Hasil Pekerjaan - - (6)</t>
  </si>
  <si>
    <t>48 kali</t>
  </si>
  <si>
    <t>Panitia Pelaksana Teknis Kegiatan (PPTK) - Nilai pagu dana diatas Rp.   5 juta sd. Rp. 100 juta (6)</t>
  </si>
  <si>
    <t>- BBM roda 2 BL 2336 AN = 1 kendaraan x 2 liter x 12 bulan x 22hari</t>
  </si>
  <si>
    <t>Belanja bahan bakar minyak/gas dan pelumas</t>
  </si>
  <si>
    <t>- Kemasan Dalam Kaleng - 10 Liter</t>
  </si>
  <si>
    <t>kaleng</t>
  </si>
  <si>
    <t>20 kali</t>
  </si>
  <si>
    <t>PEMELIHARAAN RUTIN/BERKALA PERALATAN GEDUNG KANTOR</t>
  </si>
  <si>
    <t xml:space="preserve">   Service Printer  - Umum</t>
  </si>
  <si>
    <t xml:space="preserve">   Service Laptop</t>
  </si>
  <si>
    <t xml:space="preserve">   Service - AC Split</t>
  </si>
  <si>
    <t xml:space="preserve">   Service genset/ generator</t>
  </si>
  <si>
    <t xml:space="preserve">   Service Printer - Printer Gaji</t>
  </si>
  <si>
    <t xml:space="preserve">   Service Monitor</t>
  </si>
  <si>
    <t xml:space="preserve">   Isi Freon dari kosong AC Split - 2 PK</t>
  </si>
  <si>
    <t xml:space="preserve">   Isi Freon dari kosong AC Split - 1 PK</t>
  </si>
  <si>
    <t xml:space="preserve">   Service PC</t>
  </si>
  <si>
    <t xml:space="preserve">Kecamatan Kuta Alam, Kecamatan Baiturrahman, Kecamatan Meuraxa, Kecamatan Syiah Kuala, Kecamatan Banda Raya, Kecamatan Kuta Raja, Kecamatan Jaya Baru, Kecamatan Lueng Bata, Kecamatan Ulee Kareng
</t>
  </si>
  <si>
    <t>pack</t>
  </si>
  <si>
    <t>Prog. Pengembangan Data/Informasi/Statistik Daerah</t>
  </si>
  <si>
    <t>- Panitia Pelaksana Teknis Kegiatan (PPTK) - Nilai pagu dana diatas Rp.   5 juta sd. Rp. 100 juta (4)</t>
  </si>
  <si>
    <t>Belanja jasa tim teknis Survey Data Sektoral</t>
  </si>
  <si>
    <t>- Pembina 1 org X 4 Bln</t>
  </si>
  <si>
    <t>- Koordinator 1 Org X 4 Bln</t>
  </si>
  <si>
    <t>- Ketua 1 Org X 4 Bln</t>
  </si>
  <si>
    <t>- Anggota 7 org x 4 bln</t>
  </si>
  <si>
    <t>- Honorarium Petugas MC/Protokol Tenaga Pendukung Acara Seremonial (2)</t>
  </si>
  <si>
    <t>- Honorarium Pembaca Alquran Tenaga Pendukung Acara Seremonial (2)</t>
  </si>
  <si>
    <t>- Honorarium Pembaca Doa Tenaga Pendukung Acara Seremonial (2)</t>
  </si>
  <si>
    <t>- Honorarium Petugas Kebersihan Pendukung Tenaga Pendukung Acara Seremonial (2)</t>
  </si>
  <si>
    <t>- Kertas HVS 70 Gram A4</t>
  </si>
  <si>
    <t>- Penjilid - Kecil</t>
  </si>
  <si>
    <t>- Ballpoint - Pilot</t>
  </si>
  <si>
    <t>- Spidol Boardmarker</t>
  </si>
  <si>
    <t>- Honorarium Esselon II (Kadis) (2 org x 2 Jam x 1 hr)</t>
  </si>
  <si>
    <t>- Narasumber yang berasal dari Aparatur Pemko Banda Aceh (2 org x 5 jam x 2 kali)</t>
  </si>
  <si>
    <t>- Moderator (1 org x 2 kali x 5 jam)</t>
  </si>
  <si>
    <t>- Cetak sertifikat/piagam - Bahan Conqueror, cetak hiitam putih, satu sisi</t>
  </si>
  <si>
    <t>- Cetak buku laporan - Lux</t>
  </si>
  <si>
    <t>- Foto Copy - Standar A4/Folio</t>
  </si>
  <si>
    <t>Belanja makanan dan minuman kegiatan</t>
  </si>
  <si>
    <t>- Makanan kegiatan (2 kl x 25 kotak)</t>
  </si>
  <si>
    <t>- Snack Kegiatan (2 hari x 2 kl x 25 kotak )</t>
  </si>
  <si>
    <t>Jumlah dokumen data dan statistik daerah yang tersusun</t>
  </si>
  <si>
    <t>1.23.01.15.01</t>
  </si>
  <si>
    <t xml:space="preserve"> - Makan kegiatan 2 kali x 40 ktk</t>
  </si>
  <si>
    <t>Belanja Kawat/faksimili/internet</t>
  </si>
  <si>
    <t>Jumlah waktu jasa komunikasi,sumber daya air dan listrik yang disediakan</t>
  </si>
  <si>
    <t>Pembina Utama Muda / Nip. 196308241987031004</t>
  </si>
  <si>
    <t>- Foto copy bahan/modul</t>
  </si>
  <si>
    <t>Keg</t>
  </si>
  <si>
    <t>2.16.     KOMUNIKASI DAN INFORMATIKA</t>
  </si>
  <si>
    <t xml:space="preserve">             INFORMATIKA DAN STATISTIK</t>
  </si>
  <si>
    <t xml:space="preserve">2.16.2.20.0.0.02  DINAS KOMUNIKASI, </t>
  </si>
  <si>
    <t>NOMOR     :                      /  DPPA  /  2.16.2.20.0.0.02   /   2020</t>
  </si>
  <si>
    <t>TAHUN ANGGARAN 2020</t>
  </si>
  <si>
    <t>: 2.16</t>
  </si>
  <si>
    <t>: 2.16.2.20.0.0.02</t>
  </si>
  <si>
    <t>Tahun Anggaran 2020</t>
  </si>
  <si>
    <t>2.16      KOMUNIKASI DAN INFORMATIKA</t>
  </si>
  <si>
    <t>2.16.2.20.0.0.02  DINAS KOMUNIKASI, INFORMASI dan STATISTIKA</t>
  </si>
  <si>
    <t xml:space="preserve">DINAS KOMUNIKASI, INFORMATIKA DAN </t>
  </si>
  <si>
    <t>STATISTIK KOTA BANDA ACEH</t>
  </si>
  <si>
    <t>Banda Aceh,         2020</t>
  </si>
  <si>
    <t xml:space="preserve"> - Tambahan Beban Kerja</t>
  </si>
  <si>
    <t xml:space="preserve"> - Kekurangan TPK Tahun Anggaran 2019</t>
  </si>
  <si>
    <t xml:space="preserve"> - Tambahan Penghasilan Pegawai (TPP)</t>
  </si>
  <si>
    <t>Banda Aceh,               2020</t>
  </si>
  <si>
    <t>Januari s/d Desember 2020</t>
  </si>
  <si>
    <t xml:space="preserve">   Pewangi ruangan Bayfresh</t>
  </si>
  <si>
    <t>6</t>
  </si>
  <si>
    <t xml:space="preserve">   Sikat lantai gagang panjang</t>
  </si>
  <si>
    <t xml:space="preserve">   Sikat lobang kloset</t>
  </si>
  <si>
    <t xml:space="preserve">   Cairan pembersih lantai (Porstex)</t>
  </si>
  <si>
    <t xml:space="preserve">   Cairan pembersih kaca</t>
  </si>
  <si>
    <t xml:space="preserve">   Tong sampah besar roda</t>
  </si>
  <si>
    <t>2</t>
  </si>
  <si>
    <t xml:space="preserve">   Tong sampah sedang </t>
  </si>
  <si>
    <t>12</t>
  </si>
  <si>
    <t xml:space="preserve">   Tong sampah kecil</t>
  </si>
  <si>
    <t xml:space="preserve">   Keset kaki sedang</t>
  </si>
  <si>
    <t>5</t>
  </si>
  <si>
    <t xml:space="preserve">   Keset kaki besar</t>
  </si>
  <si>
    <t>4</t>
  </si>
  <si>
    <t xml:space="preserve">   Sapu lidi</t>
  </si>
  <si>
    <t>3</t>
  </si>
  <si>
    <t xml:space="preserve">   Pangki</t>
  </si>
  <si>
    <t xml:space="preserve">   Parang</t>
  </si>
  <si>
    <t xml:space="preserve">   Cangkol</t>
  </si>
  <si>
    <t>1</t>
  </si>
  <si>
    <t xml:space="preserve">   tisu kotak</t>
  </si>
  <si>
    <t xml:space="preserve">   Cairan pembersih lantai</t>
  </si>
  <si>
    <t xml:space="preserve">   Pel gagang pembersih lantai</t>
  </si>
  <si>
    <t>8</t>
  </si>
  <si>
    <t xml:space="preserve">   Sapu debu/kemoceng</t>
  </si>
  <si>
    <t xml:space="preserve">   Sapu ijuk gagang panjang</t>
  </si>
  <si>
    <t xml:space="preserve">   Sapu lantai plastik</t>
  </si>
  <si>
    <t xml:space="preserve">   Sodok sampah</t>
  </si>
  <si>
    <t xml:space="preserve">   Gagang pel tolak air</t>
  </si>
  <si>
    <t xml:space="preserve">   Belanja iuran</t>
  </si>
  <si>
    <t>- BBM roda 4 toyota BL 243 AH (Siaran Keliling) = (1 kendaraan x 6 liter x 12 bulan x 22 hari )</t>
  </si>
  <si>
    <t>Belanja Pengganti Suku Cadang</t>
  </si>
  <si>
    <t>- Penggantian suku cadang kendaraan Roda 4 &amp; 2 : BL 243 AH , B 3543 PQV,BL 175 J ( roda 4 ) dan BL 2336 AN ( roda 2 )</t>
  </si>
  <si>
    <t>- Belanja Surat tanda kendaraan bermotor untuk kendaraan BL 243 AH, B 3543 PQV, BL 175 J (roda 4)</t>
  </si>
  <si>
    <t>- Belanja Balik Nama untuk kendaraan B 3543 PQV (roda 4)</t>
  </si>
  <si>
    <t xml:space="preserve">   Cetak Blangko SPM NCR</t>
  </si>
  <si>
    <t xml:space="preserve">   Cetak Amplop Dinas ukuran sedang</t>
  </si>
  <si>
    <t xml:space="preserve">   Cetak Amplop Dinas Ukuran kecil</t>
  </si>
  <si>
    <t xml:space="preserve">   Cetak Amplop Dinas Ukuran Besar</t>
  </si>
  <si>
    <t xml:space="preserve">   Cetak Lembar Disposisi Surat</t>
  </si>
  <si>
    <t xml:space="preserve">   Foto Copy - Standar A4/Folio</t>
  </si>
  <si>
    <t>- Makan Minum Harian Pegawai (15 org x 22 hari x 11 bln)</t>
  </si>
  <si>
    <t>- Makan Minum Kegiatan Perayaan Hari-hari Besar Islam</t>
  </si>
  <si>
    <t>Paket</t>
  </si>
  <si>
    <t>RAPAT-RAPAT KOORDINASI DAN KONSULTASI KELUAR DAERAH</t>
  </si>
  <si>
    <t>- Panitia Pelaksana Teknis Kegiatan (PPTK) - Nilai pagu dana diatas Rp.   5 juta sd. Rp. 100 juta (6)</t>
  </si>
  <si>
    <t>- Anggota 4 org x 6 bln</t>
  </si>
  <si>
    <t>- Honorarium Petugas MC/Protokol Tenaga Pendukung Acara Seremonial (1)</t>
  </si>
  <si>
    <t>- Honorarium Pembaca Alquran Tenaga Pendukung Acara Seremonial (1)</t>
  </si>
  <si>
    <t>- Honorarium Pembaca Doa Tenaga Pendukung Acara Seremonial (1)</t>
  </si>
  <si>
    <t>- Honorarium Petugas Kebersihan Pendukung Tenaga Pendukung Acara Seremonial (2 org)</t>
  </si>
  <si>
    <t>- Kertas HVS 70 Gram F4</t>
  </si>
  <si>
    <t>- Map Plastik</t>
  </si>
  <si>
    <t>- Kertas sertifikat linen holand</t>
  </si>
  <si>
    <t>- Amplop</t>
  </si>
  <si>
    <t>oj</t>
  </si>
  <si>
    <t>- Moderator (1 org x 1 kali x 4 jam)</t>
  </si>
  <si>
    <t>- Perjalanan Dinas Narasumber</t>
  </si>
  <si>
    <t>- PPTK Ketua 1 orang x 6 bulan</t>
  </si>
  <si>
    <t>- Sekretaris (1 org x 6 bln)</t>
  </si>
  <si>
    <t>-  Akomodasi Peserta  30 orang x 2 kali</t>
  </si>
  <si>
    <t>- Kertas HVS</t>
  </si>
  <si>
    <t xml:space="preserve"> - Map Plastik</t>
  </si>
  <si>
    <t xml:space="preserve"> - amplop pendek</t>
  </si>
  <si>
    <t xml:space="preserve"> - kertas hvs A4</t>
  </si>
  <si>
    <t xml:space="preserve"> - Pembuatan Film Dokumenter </t>
  </si>
  <si>
    <t xml:space="preserve"> - Publikasi melalui media cetak dan online</t>
  </si>
  <si>
    <t xml:space="preserve"> - Pemuatan Iklan Layanan Masyarakat Melalui Media Daring</t>
  </si>
  <si>
    <t xml:space="preserve"> - Tenaga ahli akademisi Pelaksana Smart City</t>
  </si>
  <si>
    <t>- pembuatan laporan</t>
  </si>
  <si>
    <t>Belanja Makanan dan Minuman Kegiatan Pelatihan Jurnalistik</t>
  </si>
  <si>
    <t xml:space="preserve"> - Snack kegiatan 2 hari x 2 kali x 40 ktk</t>
  </si>
  <si>
    <t xml:space="preserve">Belanja Makanan dan Minuman Kegiatan Bimtek Smart City </t>
  </si>
  <si>
    <t xml:space="preserve"> - Makan kegiatan 2 kali x 2 hari x 30 ktk</t>
  </si>
  <si>
    <t xml:space="preserve"> - Snack kegiatan 2 kali x 2 hari x 30 ktk</t>
  </si>
  <si>
    <t xml:space="preserve">Belanja Makanan dan Minuman Kegiatan FGD Smart City </t>
  </si>
  <si>
    <t xml:space="preserve"> - Makan kegiatan 2 kali x 2 hari x 60 ktk</t>
  </si>
  <si>
    <t xml:space="preserve"> - Snack kegiatan 2 kali x 2 hari x 60 ktk</t>
  </si>
  <si>
    <t xml:space="preserve">Belanja Makanan dan Minuman Kegiatan Sosialisasi program kerja dan indikator keberhasilan smart city </t>
  </si>
  <si>
    <t xml:space="preserve"> - Snack kegiatan 2 kali x 60 ktk</t>
  </si>
  <si>
    <t>Belanja jasa konsultansi</t>
  </si>
  <si>
    <t>Belanja jasa konsultansi perencanaan</t>
  </si>
  <si>
    <t xml:space="preserve">- Perencanaan Pembangunan Gedung Command Center Kota Banda Aceh </t>
  </si>
  <si>
    <t>PENYEBARLUASAN INFORMASI PEMBANGUNAN DAERAH</t>
  </si>
  <si>
    <t xml:space="preserve">- Panitia Pelaksana Teknis Kegiatan (PPTK) - Nilai pagu dana diatas Rp. 500 juta sd. Rp. 1 miliar (1 org x 10 bulan)
</t>
  </si>
  <si>
    <t>- Honor Petugas MC</t>
  </si>
  <si>
    <t>- Honor Pembaca Al-Qur'an</t>
  </si>
  <si>
    <t>- Honor Pembaca Doa</t>
  </si>
  <si>
    <t>- Honor Petugas Kebersihan tempat</t>
  </si>
  <si>
    <t>- Kertas HVS 70 gram F4</t>
  </si>
  <si>
    <t>- Odner/binder - folio</t>
  </si>
  <si>
    <t>- catridge - black</t>
  </si>
  <si>
    <t xml:space="preserve">- Spidol permanent </t>
  </si>
  <si>
    <t xml:space="preserve">- Buku Folio </t>
  </si>
  <si>
    <t>- Tas seminar kit</t>
  </si>
  <si>
    <t>- Pengadaan Baliho internal</t>
  </si>
  <si>
    <t>- Pemasangan Baliho internal</t>
  </si>
  <si>
    <t>- Pengadaan Spanduk</t>
  </si>
  <si>
    <t>- Pemasangan Spanduk</t>
  </si>
  <si>
    <t>- Iklan / Pariwara koran</t>
  </si>
  <si>
    <t>- Kerjasama dengan stasion Radio ( Traffic Update ) 10 Radio x 12 bulan</t>
  </si>
  <si>
    <t>Narasumber Rakornis PPID</t>
  </si>
  <si>
    <t>- Jilid spiral plastik laporan PPID</t>
  </si>
  <si>
    <t>- Snack rapat PPID 60 kotak x 1 kali</t>
  </si>
  <si>
    <t>Belanja kursus, pelatihan, sosialisasi dan bimbingan teknis Non PNS</t>
  </si>
  <si>
    <t>- Belanja Pendukung Kegiatan RAPI Kota Banda Aceh</t>
  </si>
  <si>
    <t>Belanja hibah barang atau jasa yang diserahkan kepada pihak ketiga/masyarakat</t>
  </si>
  <si>
    <t>- Pengadaan Perlengkapan RAPI Kota Banda Aceh</t>
  </si>
  <si>
    <t>- Panitia Pelaksana Teknis Kegiatan (PPTK) - Nilai pagu dana diatas Rp.   5 juta sd. Rp. 100 juta (1 orang x 6 bulan)</t>
  </si>
  <si>
    <t>Honorarium Tim Teknis</t>
  </si>
  <si>
    <t>Tim Pengelola Redaksi Pemberitaan COVID-19 Kota Banda Aceh (SK Walikota Banda Aceh)</t>
  </si>
  <si>
    <t>Belanja Alat Tulis Kantor (kegiatan lomba)</t>
  </si>
  <si>
    <t>- Tinta Printer Refill Infus Epson</t>
  </si>
  <si>
    <t>- Map Folio</t>
  </si>
  <si>
    <t>lusin</t>
  </si>
  <si>
    <t>- Isolasi Hitam Besar</t>
  </si>
  <si>
    <t>- Pulpen</t>
  </si>
  <si>
    <t>- pubikasi pembangunan kota banda aceh</t>
  </si>
  <si>
    <t xml:space="preserve">- Foto Copy </t>
  </si>
  <si>
    <t>Belanja Modal Pengadaan Komputer Note Book</t>
  </si>
  <si>
    <t>- Laptop</t>
  </si>
  <si>
    <t>Belanja Modal Pengadaan Alat-alat Studio</t>
  </si>
  <si>
    <t>Belanja Modal Pengadaan Kamera</t>
  </si>
  <si>
    <t>- Camera Mirrorless</t>
  </si>
  <si>
    <t>Belanja Modal Pengadaan Kelengkapan Alat Studio (memory card, tripod, baterai camera &amp; kaset handycam)</t>
  </si>
  <si>
    <t>- Tripod Foto</t>
  </si>
  <si>
    <t>- Gimbal</t>
  </si>
  <si>
    <t>- Audio Recorder</t>
  </si>
  <si>
    <t>- Microphone Wireless</t>
  </si>
  <si>
    <t>- Microphone External Kamera</t>
  </si>
  <si>
    <t>- Panitia Pelaksana Teknis Kegiatan (PPTK) - Nilai pagu dana diatas Rp.   5 juta sd. Rp. 100 juta (1 orang x 8 bulan)</t>
  </si>
  <si>
    <t>- Honor Petugas MC ( Pembekalan dan Lomba)</t>
  </si>
  <si>
    <t>- Honor Pembaca Al-Qur'an (Lomba)</t>
  </si>
  <si>
    <t>- Honor Pembaca Doa (Lomba)</t>
  </si>
  <si>
    <t>- Honor Pembaca Soal (Lomba)</t>
  </si>
  <si>
    <t>- Honor Petugas Sondsystem (Pembekalan,TM &amp; Lomba)</t>
  </si>
  <si>
    <t>- Honor Petugas Kebersihan Tempat (Pembekalan, TM &amp; Lomba KIG)</t>
  </si>
  <si>
    <t>- Honor Petugas Papan Skor (Lomba)</t>
  </si>
  <si>
    <t>- Transpor peserta sosialisasi 6 org x 2 kl x 9 Kecamatan</t>
  </si>
  <si>
    <t>- Transport Peserta TM dan Lomba KIG 27 orang x 2 Kali</t>
  </si>
  <si>
    <t xml:space="preserve">Belanja Alat Tulis Kantor </t>
  </si>
  <si>
    <t>- Spidol Permanent</t>
  </si>
  <si>
    <t>- Map Gantung</t>
  </si>
  <si>
    <t>- Karton Manila (BC) Plano</t>
  </si>
  <si>
    <t>lsn</t>
  </si>
  <si>
    <t>- Pulpen Pembekalan KIG</t>
  </si>
  <si>
    <t>- Buku tulis</t>
  </si>
  <si>
    <t>- Pengadaan dan Pemasangan Beckground 3 X 4 M</t>
  </si>
  <si>
    <t>- Biaya Produksi/Liputan TV 1 kali</t>
  </si>
  <si>
    <t xml:space="preserve">- Produksi film Pendek edokasi Pembangunan Kota  Banda Aceh durasi 2 s/ 3 menit </t>
  </si>
  <si>
    <t xml:space="preserve">- Narasumber yang berasal dari luar aparatur pemko 1 org x 2 kali x 4 jam </t>
  </si>
  <si>
    <t>- Narasumber yang berasal dari peg Pemko 1 org x4 kali x 4 jam</t>
  </si>
  <si>
    <t>- Honorarium Moderator 2 kali x 4 jam</t>
  </si>
  <si>
    <t>- Honorarium Juri 3 orang (Lomba KIG)</t>
  </si>
  <si>
    <t>- Cetak Modul (Buku Panduan Soal Lomba KIG)</t>
  </si>
  <si>
    <t>- Cetak Sertifikat  Pemateri, Peserta dan panitia Pembekalan KIG</t>
  </si>
  <si>
    <t>- Cetak Sertifikat (Peserta + Dewan Juri Perlombaan KIG)</t>
  </si>
  <si>
    <t>- Cetak Laporan Kegiatan</t>
  </si>
  <si>
    <t>pck</t>
  </si>
  <si>
    <t>- Foto copy bahan/modul materi Pembekalan KIG</t>
  </si>
  <si>
    <t>- Foto Copy Technical Metting dan Lomba KIG</t>
  </si>
  <si>
    <t>- Makan kegiatan Pembekalan KIG 2 kl x 72ktk</t>
  </si>
  <si>
    <t>- Snack kegiatan Pembekalan KIG 2 kl x 72 ktk</t>
  </si>
  <si>
    <t>- Makan kegiatan (Technical Meeting)</t>
  </si>
  <si>
    <t>- Snack kegiatan (Technical Meeting)</t>
  </si>
  <si>
    <t>- Makan kegiatan (Lomba)</t>
  </si>
  <si>
    <t>- Snack kegiatan (Lomba)</t>
  </si>
  <si>
    <t>Belanja Pakaian kontingen</t>
  </si>
  <si>
    <t>stel</t>
  </si>
  <si>
    <t>- pendamping</t>
  </si>
  <si>
    <t>-  Panitia Pelaksana Teknis Kegiatan (PPTK) - Nilai pagu dana diatas Rp. 500 juta sd. Rp. 1 M (1 org x 6 bln)</t>
  </si>
  <si>
    <t>Tim Integrasi Jaringan Interkoneksi TIK (SK Walikota Banda Aceh)</t>
  </si>
  <si>
    <t>- Pengarah (2 org x 6 bln)</t>
  </si>
  <si>
    <t>- Penanggungjawab (1 org x 6 bln)</t>
  </si>
  <si>
    <t>- Koordinator (1 org x 6 bln)</t>
  </si>
  <si>
    <t>- Ketua (1 org x 6 bln)</t>
  </si>
  <si>
    <t>- Anggota (gol III) (2 org x 6 bln)</t>
  </si>
  <si>
    <t>- Anggota (gol II/honorer/kontrak) (15 org x 6 bln)</t>
  </si>
  <si>
    <t>Tim  Integrasi Aplikasi TIK (SK Walikota Banda Aceh)</t>
  </si>
  <si>
    <t>- Pengarah (1 org x 6 bln)</t>
  </si>
  <si>
    <t>- Anggota (gol III) (4 org x 6 bln)</t>
  </si>
  <si>
    <t>- Anggota (gol II/honorer/kontrak) (5 org x 6 bln)</t>
  </si>
  <si>
    <t xml:space="preserve">- Transport Petugas Perbaikan Jaringan Interkoneksi  2 org x 60 kl (1 tahun) </t>
  </si>
  <si>
    <t>- Map gantung</t>
  </si>
  <si>
    <t>- Biaya langganan Bandwith Internet</t>
  </si>
  <si>
    <t>- Biaya pengadaan Lisensi C Panel + Softaculous</t>
  </si>
  <si>
    <t>-Biaya pengadaan Template (Tema Aplikasi Mobile dan Web Admin)</t>
  </si>
  <si>
    <t>Belanja Kursus, Pelatihan, Sosialisasi dan Bimbingan Teknis  PNS</t>
  </si>
  <si>
    <t>- Biaya Pemeliharaan BTS/Tower</t>
  </si>
  <si>
    <t>- Biaya Pemeliharaan Data Center</t>
  </si>
  <si>
    <t xml:space="preserve">- Perencanaan Pembangunan Fiber Optic (FO) Kota Banda Aceh </t>
  </si>
  <si>
    <t>- OTDR</t>
  </si>
  <si>
    <t>- Senter Optic</t>
  </si>
  <si>
    <t>- Holder SOC</t>
  </si>
  <si>
    <t>- Kabel Tracker FO</t>
  </si>
  <si>
    <t>- Tang Skune Hidrolik</t>
  </si>
  <si>
    <t>- Bor Jack Hammer</t>
  </si>
  <si>
    <t>- Vacum Cleaner</t>
  </si>
  <si>
    <t>Belanja Modal Pengadaan Peralatan Jaringan Komputer</t>
  </si>
  <si>
    <t>Pembangunan Jaringan Interkoneksi dan Pengelolaan Data Center Kota Banda Aceh (OTSUS)</t>
  </si>
  <si>
    <t>Pembangunan  Jaringan Interkoneksi (OTSUS)</t>
  </si>
  <si>
    <t>Pengelolaan Data Center (OTSUS)</t>
  </si>
  <si>
    <t>Honorarium Tim Penyusun Arsitektur SPBE</t>
  </si>
  <si>
    <t>- Pengarah 2 org x 3 bln</t>
  </si>
  <si>
    <t>- Penanggung jawab 1 org x 3 bln</t>
  </si>
  <si>
    <t>- Koordinator 1 org x 3 bln</t>
  </si>
  <si>
    <t>- Ketua 1 org x 3 bln</t>
  </si>
  <si>
    <t>- Wakil Ketua 1 org x 3 bln</t>
  </si>
  <si>
    <t>- Sekretaris 1 org x 3 bln</t>
  </si>
  <si>
    <t>- Anggota Gol IV 3 org x 3 bln</t>
  </si>
  <si>
    <t>- Anggota Gol III keatas 7 org x 3 bln</t>
  </si>
  <si>
    <t>Honorarium Tim Evaluasi SPBE</t>
  </si>
  <si>
    <t>- Anggota Gol III keatas 6 org x 3 bln</t>
  </si>
  <si>
    <t>Honorarium Tim Integrasi Aplikasi</t>
  </si>
  <si>
    <t>- Pengarah 2 org x 11 bln</t>
  </si>
  <si>
    <t>- Penanggung jawab 1 org x 11 bln</t>
  </si>
  <si>
    <t>- Koordinator 1 org x 11 bln</t>
  </si>
  <si>
    <t>- Ketua 1 org x 11 bln</t>
  </si>
  <si>
    <t>- Wakil Ketua 1 org x 11 bln</t>
  </si>
  <si>
    <t>- Sekretaris 1 org x 11 bln</t>
  </si>
  <si>
    <t>- Anggota Gol IV (3 org x 11 bln)</t>
  </si>
  <si>
    <t>- Anggota Gol III (6 org x 11 bln)</t>
  </si>
  <si>
    <t>Honorarium Tim Koordinasi SPBE</t>
  </si>
  <si>
    <t>- Pengarah 1 org x 6 bln</t>
  </si>
  <si>
    <t>- Wakil Pengarah 1 org x 6 bln</t>
  </si>
  <si>
    <t>- Wakil Koordinator 1 org x 6 bln</t>
  </si>
  <si>
    <t>- Ketua 5 org x 6 bln</t>
  </si>
  <si>
    <t>- Anggota (24 org x 6 bln)</t>
  </si>
  <si>
    <t>- Honorarium tim penyusun dokumen arsitektur SPBE ( 4 org x 3 bln )</t>
  </si>
  <si>
    <t>- Honor Petugas MC (1 org x 5 Keg)</t>
  </si>
  <si>
    <t>- Honor Pembaca Al-Qur'an (1 org x 5 Keg)</t>
  </si>
  <si>
    <t>- Honor Pembaca Doa (1 org x 5 Keg)</t>
  </si>
  <si>
    <t>- Honor Petugas Kebersihan tempat (1 org x 5 Keg)</t>
  </si>
  <si>
    <t>- Kertas HVS folio</t>
  </si>
  <si>
    <t>- Kertas HVS A4</t>
  </si>
  <si>
    <t>- Amplop - Panjang</t>
  </si>
  <si>
    <t>- Amplop - Ukuran Folio</t>
  </si>
  <si>
    <t>- Post it - Sedang</t>
  </si>
  <si>
    <t>- Post it - Besar</t>
  </si>
  <si>
    <t>- Post it - Kecil</t>
  </si>
  <si>
    <t>- Spidol - white board</t>
  </si>
  <si>
    <t>- Tinta - 125ml Black</t>
  </si>
  <si>
    <t>Honorarium Instruktur Pelatihan Aplikasi e-Surat</t>
  </si>
  <si>
    <t>- Honorarium Instruktur Pelatihan Aplikasi e-Surat ( 3 org x 8jam x 3 hari)</t>
  </si>
  <si>
    <t>Honorarium Instruktur Bimtek Sertifikat Digital</t>
  </si>
  <si>
    <t>- Honorarium Instruktur BSSN Bimtek TOT Sertifikat Digital ( 2 org x 2 jam x 2 kali )</t>
  </si>
  <si>
    <t>Honorarium Bimtek Pemanfaatan Sertifikat Digital untuk SKPK</t>
  </si>
  <si>
    <t>- Honorarium Bimtek Pemanfaatan Sertifikat Digital untuk SKPK ( 3 org x 4 jam x 3 hari)</t>
  </si>
  <si>
    <t>Honorarium Tim Integrasi Aplikasi &amp; arsitektur SPBE</t>
  </si>
  <si>
    <t>- Honorarium Tim Integrasi Aplikasi ( 2 org x 12 bln )</t>
  </si>
  <si>
    <t>- Honorarium Tim Penyusun Dokumen Arsitektur SPBE (3 orang x 3 bulan)</t>
  </si>
  <si>
    <t>Laporan</t>
  </si>
  <si>
    <t>- Cetak Setifikat</t>
  </si>
  <si>
    <t>- Foto copy</t>
  </si>
  <si>
    <t>lmbr</t>
  </si>
  <si>
    <t>Belanja Makanan dan Minuman Kegiatan sosialisasi proses bisnis</t>
  </si>
  <si>
    <t>- Makan Kegiatan 2 kali x 58 orang</t>
  </si>
  <si>
    <t>- Snack Kegiatan 4 kali x 58 orang</t>
  </si>
  <si>
    <t>Belanja Makanan dan Minuman Kegiatan lomba aplikasi</t>
  </si>
  <si>
    <t>- Makan Kegiatan 1 kali x 80 orang</t>
  </si>
  <si>
    <t>- Snack Kegiatan 1 kali x 80 orang</t>
  </si>
  <si>
    <t>- Makan minum rapat 1 kali x 145 orang</t>
  </si>
  <si>
    <t>Belanja Makanan dan Minuman Kegiatan FGD</t>
  </si>
  <si>
    <t>- Makan Kegiatan FGD 3 kali x 60 orang</t>
  </si>
  <si>
    <t>- Snack Kegiatan FGD 6 kali x 60 orang</t>
  </si>
  <si>
    <t>Belanja Makanan dan Minuman Sosialisasi tanda tangan digital</t>
  </si>
  <si>
    <t>- Makan Kegiatan 1 kali x 60 orang</t>
  </si>
  <si>
    <t>- Snack Kegiatan 2 kali x 60 orang</t>
  </si>
  <si>
    <t>Belanja Makanan dan Minuman Kegiatan layanan ITSA</t>
  </si>
  <si>
    <t>- Makan Kegiatan 2 hari x 10 orang</t>
  </si>
  <si>
    <t>- Snack Kegiatan 2 hari x 4 kali x 10 orang</t>
  </si>
  <si>
    <t>Makan minum rapat tim integrasi 10 kali x 10 orang</t>
  </si>
  <si>
    <t>Belanja Makanan dan Minuman Kegiatan Pelatihan Aplikasi e-Surat</t>
  </si>
  <si>
    <t>- Snack Kegiatan  (60 org x 2 kali x 3 hari)</t>
  </si>
  <si>
    <t>Belanja Makanan dan Minuman Kegiatan Pelatihan ITSA</t>
  </si>
  <si>
    <t>- Makan Kegiatan 4 hari x 10 orang</t>
  </si>
  <si>
    <t>- Snack Kegiatan  (10 org x 8 kali x 4 hari)</t>
  </si>
  <si>
    <t>Belanja Makanan dan Minuman Bimtek Pemanfaatan Sertifikat Digital untuk SKPK</t>
  </si>
  <si>
    <t>- Snack Kegiatan  (25 org x 1 kali x 3 hari)</t>
  </si>
  <si>
    <t>- Pengarah (2 org x 7 bulan)</t>
  </si>
  <si>
    <t>- Penanggung Jawab (1 orang x 7 bulan)</t>
  </si>
  <si>
    <t>- Koordinator  (1 orang x 7 bulan)</t>
  </si>
  <si>
    <t>- Ketua  (1 orang x 7 bulan)</t>
  </si>
  <si>
    <t>- Wakil Ketua (1 orang x 7 bulan)</t>
  </si>
  <si>
    <t>- Sekretaris  (1 orang x 7 bulan)</t>
  </si>
  <si>
    <t>- Anggota Gol IV (1 orang x 7 bulan)</t>
  </si>
  <si>
    <t>- Anggota Gol III  (6  orang x 7 bulan)</t>
  </si>
  <si>
    <t>bln</t>
  </si>
  <si>
    <t>- Pejabat Pengadaan Barang/Jasa Pemerintah - Nilai pagu dana &lt; Rp. 10 milyar (jumlah 1 s/d 20 paket) (6)</t>
  </si>
  <si>
    <t>Honorarium Panitia Penerima Hasil Pekerjaan</t>
  </si>
  <si>
    <t xml:space="preserve">- Honor Pengguna Anggaran </t>
  </si>
  <si>
    <t>- Tambahan Penghasilan PPK SKPD</t>
  </si>
  <si>
    <t>- Tambahan Penghasilan Pembantu PPK SKPD</t>
  </si>
  <si>
    <t>- Honor Bendahara Pengeluaran</t>
  </si>
  <si>
    <t>- Honor Pembantu Bendahara Pengeluaran</t>
  </si>
  <si>
    <t>- Honor Pengurus barang Pengguna</t>
  </si>
  <si>
    <t>- Honor Pengurus barang Pembantu</t>
  </si>
  <si>
    <t>- Pejabat Penatausahaan Pengguna Barang Milik Daerah</t>
  </si>
  <si>
    <t xml:space="preserve">- Cleaning Servis 2 org x 12 bln </t>
  </si>
  <si>
    <t xml:space="preserve">- Tenaga kontrak administrasi 3 org x 12 bln </t>
  </si>
  <si>
    <t>- Tenaga Junior Programmer IT = 5 org x 12 bln</t>
  </si>
  <si>
    <t>- Tenaga Jaringan IT = 1 org x 12 bln</t>
  </si>
  <si>
    <t>- Tenaga Junior Jaringan IT = 2 org x 12 bln</t>
  </si>
  <si>
    <t xml:space="preserve">- Tenaga Petugas Media Center 1 org x 12 bln </t>
  </si>
  <si>
    <t xml:space="preserve">- Tenaga Korespondensi 1 org </t>
  </si>
  <si>
    <t>- Tenaga Reporter 2 org x  12 bln</t>
  </si>
  <si>
    <t xml:space="preserve">- Tenaga Fotografer Media Center 1 org x 12 bln </t>
  </si>
  <si>
    <t>PENGKAJIAN DAN PENGEMBANGAN SISTEM INFORMASI</t>
  </si>
  <si>
    <t>PENGEMBANGAN KOMUNIKASI, INFORMASI DAN MEDIA MASSA</t>
  </si>
  <si>
    <t>M. Iqbal Rokan, S.STP.</t>
  </si>
  <si>
    <t>Nip. 19780505 199810 1 001</t>
  </si>
  <si>
    <t>Weri, SE. MA</t>
  </si>
  <si>
    <t>19640525 198903 1 026</t>
  </si>
  <si>
    <t>Dewi Shinta Reza, SE. Ak</t>
  </si>
  <si>
    <t>19750630 200212 2 003</t>
  </si>
  <si>
    <t>PENYEDIAAN KOMPONEN INSTALASI LISTRIK/PENERANGAN BANGUNAN KANTOR</t>
  </si>
  <si>
    <t>PENYEDIAAN JASA TENAGA PENDUKUNG ADM/TEKNIS PERKANTORAN</t>
  </si>
  <si>
    <t>1.25.01.03.02.5.2.</t>
  </si>
  <si>
    <t>1.25.01.03</t>
  </si>
  <si>
    <t>Program Peningkatan Disiplin Aparatur</t>
  </si>
  <si>
    <t>1.25.01.03.02</t>
  </si>
  <si>
    <t>Pengadaan Pakaian Dinas Beserta Perlengkapannya</t>
  </si>
  <si>
    <t>Persentase pakaian  dinas beserta perlengkapan yang disediakan</t>
  </si>
  <si>
    <t>Jumlah Pakaian dinas beserta perlengkapan yang disediakan</t>
  </si>
  <si>
    <t>31 stel</t>
  </si>
  <si>
    <t>Tingkat keseragaman Pakaian dinas aparatur</t>
  </si>
  <si>
    <t>Kelompok Sasaran Kegiatan : PNS dan Honorer</t>
  </si>
  <si>
    <t>PENINGKATAN DISIPLIN APARATUR</t>
  </si>
  <si>
    <t>Belanja Pakaian Dinas dan atributnya</t>
  </si>
  <si>
    <t>Belanja Pakaian Dinas Harian</t>
  </si>
  <si>
    <t>- Pengadaan Pakaian Dinas Harian</t>
  </si>
  <si>
    <t>Stel</t>
  </si>
  <si>
    <t>- Pengadaan Pakaian Dinas Harian ( Non PNS)</t>
  </si>
  <si>
    <t>PENGADAAN PAKAIAN DINAS BESERTA PERLENGKAPANNYA</t>
  </si>
  <si>
    <t>Peningkatan Disiplin Aparatur</t>
  </si>
  <si>
    <t>Pengadaan Pakaian Dinas beserta Perlengkapannya</t>
  </si>
  <si>
    <t>60 Stel</t>
  </si>
  <si>
    <t>7</t>
  </si>
  <si>
    <t>13</t>
  </si>
  <si>
    <t>9</t>
  </si>
  <si>
    <t>11</t>
  </si>
  <si>
    <t>16</t>
  </si>
  <si>
    <t>- Pejabat Pembuat Komitmen</t>
  </si>
  <si>
    <t>1.25.01.02.09.5.2.</t>
  </si>
  <si>
    <t>1.25.01.02.09</t>
  </si>
  <si>
    <t>Pengadaan Peralatan Gedung Kantor</t>
  </si>
  <si>
    <t xml:space="preserve">Persentase peralatan gedung kantor yang disediakan </t>
  </si>
  <si>
    <t>Jumlah jenis peralatan gedung kantor yang disediakan</t>
  </si>
  <si>
    <t>Belanja Modal Pengadaan Komputer/PC</t>
  </si>
  <si>
    <t>- APPLE iMac MMQA2ID/A (Core i5 2.3GHz, 8GB, 1TB, 21.5 Inch) AIO Desktop PC
21.5 Inch | Intel Core i5 | 8GB | 1TB</t>
  </si>
  <si>
    <t>- Drone DJI Mavic Air</t>
  </si>
  <si>
    <t>- mic wireless</t>
  </si>
  <si>
    <t xml:space="preserve">   Perbaikan Atap Kantor</t>
  </si>
  <si>
    <t>- Pembina 1 org X 6 Bln</t>
  </si>
  <si>
    <t>- Koordinator 1 Org X 6 Bln</t>
  </si>
  <si>
    <t>- Ketua 1 Org X 6 Bln</t>
  </si>
  <si>
    <t>- Penjilid no 10</t>
  </si>
  <si>
    <t>- Anak penjilid no .10</t>
  </si>
  <si>
    <t>- Map plastik</t>
  </si>
  <si>
    <t>- Binder klip no. 260</t>
  </si>
  <si>
    <t>- Ballpoint</t>
  </si>
  <si>
    <t>- Biaya Produksi/Liputan  TV</t>
  </si>
  <si>
    <t>- Honorarium Narasumber (1 org x 4 jam x 1 kali)</t>
  </si>
  <si>
    <t>- Makanan kegiatan (1 kl x 70 kotak)</t>
  </si>
  <si>
    <t>- Snack Kegiatan (1 hari x 2 kl x 70 kotak )</t>
  </si>
  <si>
    <t>Kegiatan Pengolahan,Updating dan analisis data dan Statistik daerah</t>
  </si>
  <si>
    <t>- Panitia Pelaksana Teknis Kegiatan (PPTK) - Nilai pagu dana diatas Rp.   5 juta sd. Rp. 100 juta (8)</t>
  </si>
  <si>
    <t>Tim Teknis Koordinasi Forum Satu Data</t>
  </si>
  <si>
    <t>- Pengarah 2 Org X 6 Bln</t>
  </si>
  <si>
    <t>- penanggung jawab 1 Org X 6 Bln</t>
  </si>
  <si>
    <t>- kooordinator 1 Org X 6 Bln</t>
  </si>
  <si>
    <t>- Pembina 2 Org X 6 Bln</t>
  </si>
  <si>
    <t>- Anggota 28 Org X 6 Bln</t>
  </si>
  <si>
    <t>Tim Teknis Koordinasi Forum Satu Data (Verifikasi dan Validasi Data)</t>
  </si>
  <si>
    <t>- Sekretaris 1 Org X 6 Bln</t>
  </si>
  <si>
    <t>- Anggota produsen data (gol II) 14 Org X 6 Bln</t>
  </si>
  <si>
    <t>Atk kegiatan Penyusunan buku publikasi data statistik</t>
  </si>
  <si>
    <t>- Kerta - HVS F4 70 gram</t>
  </si>
  <si>
    <t>- Spidol white board</t>
  </si>
  <si>
    <t>- Pelobang kertas kecil</t>
  </si>
  <si>
    <t>- Anak Penjilid - kecil</t>
  </si>
  <si>
    <t>- Odner/Binder - folio</t>
  </si>
  <si>
    <t>- Odner/Binder - folio plastik</t>
  </si>
  <si>
    <t>- Binder klip - No. 200</t>
  </si>
  <si>
    <t>- Dispenser tape cutter - TC 106 Joyko</t>
  </si>
  <si>
    <t>- Penjilid - kecil X10.10</t>
  </si>
  <si>
    <t>- Amplop - ukuran cabinet</t>
  </si>
  <si>
    <t xml:space="preserve"> - Foto copy kegiatan</t>
  </si>
  <si>
    <t>Belanja makanan dan minuman</t>
  </si>
  <si>
    <t>-  Belanja snack dan minuman rapat (50 org x 6 kali)</t>
  </si>
  <si>
    <t>1.25.01.15.02</t>
  </si>
  <si>
    <t>Kegiatan Pembinaan dan Pengembangan Jaringan Komunikasi dan Informasi</t>
  </si>
  <si>
    <t>Jumlah pembinaan warnet yang dilaksanakan</t>
  </si>
  <si>
    <t>42 Kali</t>
  </si>
  <si>
    <t xml:space="preserve">- Panitia Pelaksana Teknis Kegiatan (PPTK) - Nilai pagu dana diatas Rp.   5 juta sd. Rp. 100 juta (1 org x 
6 bln)
</t>
  </si>
  <si>
    <t>Tim pengawasan  Warnet</t>
  </si>
  <si>
    <t>- Pengarah 2 org x 6 bln</t>
  </si>
  <si>
    <t>- Penanggungjawab 1 org x 6 bln</t>
  </si>
  <si>
    <t>- anggota 13 org x 6 bln</t>
  </si>
  <si>
    <t>Honorarium non PNS</t>
  </si>
  <si>
    <t>- Petugas pengawasan warnet 4 org x 10 kali</t>
  </si>
  <si>
    <t>oh</t>
  </si>
  <si>
    <t>- HVS F4 70 gram</t>
  </si>
  <si>
    <t>- Binder Klip No 200</t>
  </si>
  <si>
    <t>Ktk</t>
  </si>
  <si>
    <t>- Buku Ekspedisi Bercetak isi 100 lbr</t>
  </si>
  <si>
    <t xml:space="preserve">- Alat Penjilid sedang Max  </t>
  </si>
  <si>
    <t>- Anak Penjilid sedang Max</t>
  </si>
  <si>
    <t>- Klip / Trigonal klip no. 330</t>
  </si>
  <si>
    <t>- Cartridge -yellow/magenta/cyan/black</t>
  </si>
  <si>
    <t>- Foto Copy Bahan Laporan Razia A4</t>
  </si>
  <si>
    <t>Honorarium Tim teknis kegiatan .....</t>
  </si>
  <si>
    <t xml:space="preserve"> - Ketua 1 org x 3 bln</t>
  </si>
  <si>
    <t xml:space="preserve"> - Sekretaris 1 orang x 3 bulan</t>
  </si>
  <si>
    <t xml:space="preserve"> - Anggota Gol III 5 org x 3 bulan</t>
  </si>
  <si>
    <t>Tim Pelaksana Smart City</t>
  </si>
  <si>
    <t>- Wakil Ketua 1 Org X 6 Bln</t>
  </si>
  <si>
    <t>- Anggota (Gol III ke atas) 30 Org X 6 Bln</t>
  </si>
  <si>
    <t>- Anggota (Gol II/I/Honorer/Kontrak) 3 Org X 6 Bln</t>
  </si>
  <si>
    <t xml:space="preserve"> - anak penjilid no. 10</t>
  </si>
  <si>
    <t xml:space="preserve"> - Polpen - Pilot G 0,7</t>
  </si>
  <si>
    <t xml:space="preserve"> - Honorarium narasumber 18 jam </t>
  </si>
  <si>
    <t xml:space="preserve"> - Honorarium Moderator 18 jam</t>
  </si>
  <si>
    <t>buku</t>
  </si>
  <si>
    <t>- Honor Petugas MC (1 org x 2 Keg)</t>
  </si>
  <si>
    <t>- Honor Pembaca Al-Qur'an (1 org x 2 Keg)</t>
  </si>
  <si>
    <t>- Honor Pembaca Doa (1 org x 2 Keg)</t>
  </si>
  <si>
    <t>- Honor Petugas Kebersihan tempat (1 org x 2 Keg)</t>
  </si>
  <si>
    <t>- Cartridge</t>
  </si>
  <si>
    <t>- Biaya Langganan IOS APP Store</t>
  </si>
  <si>
    <t>- Biaya Pengadaan IP Publik</t>
  </si>
  <si>
    <t>- Biaya Pengadaan IOS Macbook Pro i5</t>
  </si>
  <si>
    <t>- Biaya Pengadaan Microsoft  Windows 10 Pro (64 bit)</t>
  </si>
  <si>
    <t>- Biaya Pengadaan Microsoft Home &amp; Business (64 bit) 2013</t>
  </si>
  <si>
    <t>- Biaya Pengadaan Anti Virus kaspersky total security 2019</t>
  </si>
  <si>
    <t>Licensi</t>
  </si>
  <si>
    <t>Belanja Jasa Tenaga Ahli/instruktur/narasumber</t>
  </si>
  <si>
    <t>- Honorarium Narasumber pertemuan/sarasehan TIK (2 orang x 3 jam x 2 keg)</t>
  </si>
  <si>
    <t>- Makan kegiatan pertemuan/sarasehan TIK (50 bks x 2 keg)</t>
  </si>
  <si>
    <t>bks</t>
  </si>
  <si>
    <t>- Snack kegiatan pertemuan/sarasehan TIK (50 ktk x 2 kali x 2 keg)</t>
  </si>
  <si>
    <t>- Pembangunan Jaringan Interkoneksi di Kantor Camat Jaya Baru (OUTSUS)</t>
  </si>
  <si>
    <t>- Pembangunan Jaringan Interkoneksi di Kantor Camat Lueng Bata (OUTSUS)</t>
  </si>
  <si>
    <t>- Pengadaan Alat Security Firewall (OTSUS)</t>
  </si>
  <si>
    <t>- Pengadaan Power Backup dan Genset (OTSUS)</t>
  </si>
  <si>
    <t>- Optimasi SAN Storage Server (OUTSUS)</t>
  </si>
  <si>
    <t>- Optimasi HDD Server (OUTSUS)</t>
  </si>
  <si>
    <t>- Pengadaan Server dan NAS Backup Data Center (OTSUS)</t>
  </si>
  <si>
    <t>- Pengadaan Perangkat Monitor Jaringan dan Server (OTSUS)</t>
  </si>
  <si>
    <t>- Honorarium tim integrasi aplikasi 5 org x 11 bln</t>
  </si>
  <si>
    <t>- Spidol - emas/perak</t>
  </si>
  <si>
    <t>- Ballpoint _ standard B gell</t>
  </si>
  <si>
    <t>Honorarium kegiatan sosialisasi dan assesment manajemen data</t>
  </si>
  <si>
    <t>- Akomodasi pemateri</t>
  </si>
  <si>
    <t>- Honorarium narasumber  (3 jam x 2 orang x 2 hari)</t>
  </si>
  <si>
    <t>Honorarium kegiatan sosialisasi Proses Bisnis Terintegrasi</t>
  </si>
  <si>
    <t xml:space="preserve">- akomodasi pemateri </t>
  </si>
  <si>
    <t>- honorarium narasumber (6 jam x 1 org x 2 hari)</t>
  </si>
  <si>
    <t>Honorarium kegiatan sosialisasi tanda tangan digital</t>
  </si>
  <si>
    <t>- honorarium narasumber (4 jam x 1 org x 1 hari)</t>
  </si>
  <si>
    <t>Honorarium kegiatan Bimtek ITSA</t>
  </si>
  <si>
    <t>- honorarium narasumber (2 jam x 3 org x 3 hari)</t>
  </si>
  <si>
    <t>Honorarium kegiatan Layanan ITSA</t>
  </si>
  <si>
    <t>Honorarium kegiatan pelatihan admin SKPK</t>
  </si>
  <si>
    <t>- honorarium narasumber (8 keg x 3 org x 3 jam)</t>
  </si>
  <si>
    <t>Belanja Makanan dan Minuman Kegiatan sosialisasi manajemen data</t>
  </si>
  <si>
    <t>- Makan Kegiatan 2 kali x 84 orang</t>
  </si>
  <si>
    <t>- Snack Kegiatan 4 kali x 84 orang</t>
  </si>
  <si>
    <t>Belanja Makanan dan Minuman Kegiatan bimtek ITSA</t>
  </si>
  <si>
    <t>- Makan Kegiatan 3 hari x 15 orang</t>
  </si>
  <si>
    <t>- Snack Kegiatan 3 hari x 2 kali x 15 orang</t>
  </si>
  <si>
    <t>Makan minum rapat 10 kali x 18 orang</t>
  </si>
  <si>
    <t>Belanja Makanan dan Minuman pelatihan admin skpk</t>
  </si>
  <si>
    <t>- Makan bimtek 8 kali x 30 orang</t>
  </si>
  <si>
    <t>- Snack bimtek 16 kali x 30 orang</t>
  </si>
  <si>
    <t>1.25.01.17</t>
  </si>
  <si>
    <t xml:space="preserve">Program Fasilitas Peningkatan SDM Bidang Komunikasi dan Informasi </t>
  </si>
  <si>
    <t>1.25.01.17.01</t>
  </si>
  <si>
    <t>Pelatihan SDM dalam Bidang Komunikasi dan Informasi</t>
  </si>
  <si>
    <t>Penyebarluasan Informasi yang bersifat regulasi atau kebijakan</t>
  </si>
  <si>
    <t>Persentase terpenuhinya peningkatan SDM bidang Kominfo</t>
  </si>
  <si>
    <t>Jumlah SDM yang telah dilatih dalam bidang Komunikasi dan Informasi</t>
  </si>
  <si>
    <t>Persentase aspirasi masyarakat melalui aplikasi suwarga yang dpt ditindaklanjuti</t>
  </si>
  <si>
    <t>Kelompok Sasaran Kegiatan : Wartawan pemula</t>
  </si>
  <si>
    <t>- PPTK Ketua 1 orang x 3 bulan</t>
  </si>
  <si>
    <t>Tim Teknis Suwarga</t>
  </si>
  <si>
    <t xml:space="preserve"> - Pengarah</t>
  </si>
  <si>
    <t xml:space="preserve"> - Penanggung jawab</t>
  </si>
  <si>
    <t xml:space="preserve"> - Koordinator</t>
  </si>
  <si>
    <t xml:space="preserve"> - Ketua</t>
  </si>
  <si>
    <t xml:space="preserve"> - Wakil Ketua</t>
  </si>
  <si>
    <t xml:space="preserve"> - Sekretaris</t>
  </si>
  <si>
    <t xml:space="preserve"> - Anggota (Gol III) (16 Orang x 6 bulan)</t>
  </si>
  <si>
    <t xml:space="preserve"> - Anggota (Gol II/I/Honorer/Kontrak) (Pengelolan Pengaduan 2 Orang x 6 bulan)</t>
  </si>
  <si>
    <t>Tim Teknis Penyusun Tabloid</t>
  </si>
  <si>
    <t xml:space="preserve"> - Anggota (Gol III) (3 Orang x 6 bulan)</t>
  </si>
  <si>
    <t>Tim Teknis Smart City</t>
  </si>
  <si>
    <t>- Pengarah 2 Org X 1 Bln</t>
  </si>
  <si>
    <t>- penanggung jawab 1 Org X 1 Bln</t>
  </si>
  <si>
    <t>- kooordinator 1 Org X 1 Bln</t>
  </si>
  <si>
    <t>- Ketua 1 Org X 1 Bln</t>
  </si>
  <si>
    <t>- Wakil Ketua 2 Org X 1 Bln</t>
  </si>
  <si>
    <t>- Sekretaris (1 org x 1 bln)</t>
  </si>
  <si>
    <t>- Anggota (Gol III ke atas) 30 Org X 1 Bln</t>
  </si>
  <si>
    <t>- Anggota (Gol II/I/Honorer/Kontrak) 3 Org X 1 Bln</t>
  </si>
  <si>
    <t xml:space="preserve"> - Kertas HVS 70 gram A4</t>
  </si>
  <si>
    <t xml:space="preserve"> - Ballpoint - Refil Parker roller ball</t>
  </si>
  <si>
    <t xml:space="preserve"> - Spidol White Board</t>
  </si>
  <si>
    <t xml:space="preserve"> - Spidol permanent</t>
  </si>
  <si>
    <t xml:space="preserve"> - Amplop pendek</t>
  </si>
  <si>
    <t>- Penjilid Sedang</t>
  </si>
  <si>
    <t xml:space="preserve"> - Amplop Panjang</t>
  </si>
  <si>
    <t>Cetak Spanduk (4 meter x 7 kali)</t>
  </si>
  <si>
    <t xml:space="preserve"> - Baliho/Spanduk/Backdrop - Bahan Flexy 340 gram</t>
  </si>
  <si>
    <t>Meter</t>
  </si>
  <si>
    <t>Ongkos Pasang Spanduk (4 meter x 7 kali)</t>
  </si>
  <si>
    <t xml:space="preserve"> - Baliho/Spanduk/Backdrop - Ongkos pasang</t>
  </si>
  <si>
    <t xml:space="preserve"> - Redaktur Pelaksana (1 ogr x 8 bln)</t>
  </si>
  <si>
    <t xml:space="preserve"> - Setting/Layout (1 ogr x 8 bln)</t>
  </si>
  <si>
    <t xml:space="preserve"> - Anggota (2 ogr x 8 bln)</t>
  </si>
  <si>
    <t>Tenaga ahli Pelaksana Smart City 5 org x 4bln</t>
  </si>
  <si>
    <t>- Cetak dan Distribusi Tabloid info banda Aceh (4395 eks x 8 edisi)</t>
  </si>
  <si>
    <t xml:space="preserve"> - Cetak buku laporan - lux</t>
  </si>
  <si>
    <t xml:space="preserve"> - Foto copy - Standar A4/Folio</t>
  </si>
  <si>
    <t xml:space="preserve"> - Makan kegiatan 2 kali x 27 orang</t>
  </si>
  <si>
    <t xml:space="preserve"> - Snack kegiatan 2 kali x 27 orang</t>
  </si>
  <si>
    <t>Belanja Makanan dan Minuman Kegiatan Bimtek Smart City</t>
  </si>
  <si>
    <t xml:space="preserve"> - Makan kegiatan 2 kali x 2 hari x 90 ktk</t>
  </si>
  <si>
    <t xml:space="preserve"> - Snack kegiatan 3 kali x 2 hari x 2 X 90 ktk</t>
  </si>
  <si>
    <t>Belanja Makanan dan Minuman Kegiatan FGD Smart City</t>
  </si>
  <si>
    <t xml:space="preserve"> - Makan kegiatan 3 x  90 ktk</t>
  </si>
  <si>
    <t xml:space="preserve"> - Snack kegiatan 3 x 2 x 90 ktk</t>
  </si>
  <si>
    <t>RAPI</t>
  </si>
  <si>
    <t>Lat. Pers</t>
  </si>
  <si>
    <t>Aplikasi</t>
  </si>
  <si>
    <t>Jlh</t>
  </si>
  <si>
    <t>Sisa</t>
  </si>
  <si>
    <t>30 orang</t>
  </si>
  <si>
    <t>1.25.01.16.01</t>
  </si>
  <si>
    <t>1.25.01.16</t>
  </si>
  <si>
    <t>Program Pengkajian dan Penelitian Bidang Komunikasi dan Informasi</t>
  </si>
  <si>
    <t>Kegiatan Pengkajian dan Penelitian Bidang Informasi dan Komunikasi.</t>
  </si>
  <si>
    <t>Persentase terpenuhinya data base infokom</t>
  </si>
  <si>
    <t>Jumlah kegiatan penelitian penyusunan data base informasi dan komunikasi yang dilakukan</t>
  </si>
  <si>
    <t>Persentase aspirasi masyarakat melalui aplikasi suwarga yang dpt ditindak lanjuti</t>
  </si>
  <si>
    <t>- Panitia Pelaksana Teknis Kegiatan (PPTK) - Nilai pagu dana diatas Rp.   5 juta sd. Rp. 100 juta (1 orang x 3 bulan)</t>
  </si>
  <si>
    <t>-  Honorarium Peserta  45 orang x 2 kali</t>
  </si>
  <si>
    <t>- amplop</t>
  </si>
  <si>
    <t>- kertas hvs</t>
  </si>
  <si>
    <t>- anak penjilid no. 10</t>
  </si>
  <si>
    <t>- Alat penjilid kecil no. 10</t>
  </si>
  <si>
    <t>- Honorarium narasumber 2 org x 1 kali x 4 jam</t>
  </si>
  <si>
    <t>- Honorarium Moderator 2 orang x 1 kali x 4 jam</t>
  </si>
  <si>
    <t>- Cetak buku</t>
  </si>
  <si>
    <t>- Makan kegiatan 57 org x 2 kali</t>
  </si>
  <si>
    <t>- Snack kegiatan 57 org x 4 kali</t>
  </si>
  <si>
    <t>- Pengadaan dan pemasangan Baliho eksternal</t>
  </si>
  <si>
    <t>* Kerja sama dengan media massa :</t>
  </si>
  <si>
    <t xml:space="preserve">- Honorarium Narasumber dari luar Aparatur Pemko 1 orang x 3 jam </t>
  </si>
  <si>
    <t xml:space="preserve">- Honorarium Narasumber dari Aparatur Pemko 1 orang x 3 jam </t>
  </si>
  <si>
    <t>- honorarium Moderator 1 org x 6 jam</t>
  </si>
  <si>
    <t>- honorarium Notulen 1 org x 6 jam</t>
  </si>
  <si>
    <t>- Foto copy bahan PPID</t>
  </si>
  <si>
    <t>- Makan kegiatan rakornis PPID 107 Kotak x 1 kali</t>
  </si>
  <si>
    <t>- Snack kegiatan rakornis PPID 152 Kotak x 1 kali</t>
  </si>
  <si>
    <t>- Jasa Operasional Live Traffic Update</t>
  </si>
  <si>
    <t>* Pengadaan dan Pemasangan Spanduk:</t>
  </si>
  <si>
    <t>* Pengadaan dan Pemasangan Baliho:</t>
  </si>
  <si>
    <t>- Jilid Kliping koran</t>
  </si>
  <si>
    <t>- Foto copy bahan PPID Kliping koran</t>
  </si>
  <si>
    <t>Belanja SewaRumah/Gedung/Gudang/Parkir</t>
  </si>
  <si>
    <t>- Sewa Gedung Kantor RAPI Kota Banda Aceh</t>
  </si>
  <si>
    <t>- Permohonan Mobil Layanan Ambulance Emergency Pengurus RAPI Kota Banda Aceh</t>
  </si>
  <si>
    <t>Honorarium Tenaga Pendukung TOT Operator PPID</t>
  </si>
  <si>
    <t>- Honor Petugas Sondsystem 2 Orang x 2 kali</t>
  </si>
  <si>
    <t>- Honor Petugas Kebersihan Tempat 2 Orang x 2 kali</t>
  </si>
  <si>
    <t>- Narasumber yang berasal dari peg Pemko 2 org x2 kali x 4 jam</t>
  </si>
  <si>
    <t>- Makan 68 Orang x 2 kali</t>
  </si>
  <si>
    <t>- Snack 68 Orang x 2 kali</t>
  </si>
  <si>
    <t>- Amplop Coklat Bertali 310 Folio</t>
  </si>
  <si>
    <t>- Amplop Linen Putih Kecil</t>
  </si>
  <si>
    <t>- Double Tape 1 Inchi Tipis</t>
  </si>
  <si>
    <t>- Blok Note</t>
  </si>
  <si>
    <t>- Map Plastik Pakai Kancing</t>
  </si>
  <si>
    <t>- Badge Nama Lomba KIG</t>
  </si>
  <si>
    <t>- Badge Nama peserta Pembekalan KIG</t>
  </si>
  <si>
    <t>- Blok Note Pembekalan KIG</t>
  </si>
  <si>
    <t>- Tas seminar kit Pembekalan KIG</t>
  </si>
  <si>
    <t>Belanja Hadiah Perlombaan</t>
  </si>
  <si>
    <t>- Hadiah juara I</t>
  </si>
  <si>
    <t>- Hadiah Juara II</t>
  </si>
  <si>
    <t>- Hadiah Juara III</t>
  </si>
  <si>
    <t>- Piala 2 kaki (juara I, juara II, juara III)</t>
  </si>
  <si>
    <t>- Narasumber yang berasal dari peg Pemko 1 org x2 kali x 4 jam</t>
  </si>
  <si>
    <t xml:space="preserve">- Narasumber yang berasal dari luar aparatur pemko 1 org x 4 kali x 4 jam </t>
  </si>
  <si>
    <t>Pembinaan dan Pengembangan Jaringan Komunikasi dan Informasi</t>
  </si>
  <si>
    <t>Pengkajian dan Penelitian Bidang Komunikasi dan Informasi</t>
  </si>
  <si>
    <t xml:space="preserve">Fasilitas Peningkatan SDM Bidang Komunikasi dan Informasi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</si>
</sst>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quot;Rp&quot;* #,##0_-;\-&quot;Rp&quot;* #,##0_-;_-&quot;Rp&quot;* &quot;-&quot;_-;_-@_-"/>
    <numFmt numFmtId="165" formatCode="_-* #,##0_-;\-* #,##0_-;_-* &quot;-&quot;_-;_-@_-"/>
    <numFmt numFmtId="166" formatCode="_(&quot;Rp&quot;* #,##0_);_(&quot;Rp&quot;* \(#,##0\);_(&quot;Rp&quot;* &quot;-&quot;_);_(@_)"/>
    <numFmt numFmtId="167" formatCode="_(* #,##0_);_(* \(#,##0\);_(* &quot;-&quot;??_);_(@_)"/>
    <numFmt numFmtId="168" formatCode="yyyy\-mm\-dd;@"/>
    <numFmt numFmtId="169" formatCode="_(* #,##0.00_);_(* \(#,##0.00\);_(* \-??_);_(@_)"/>
  </numFmts>
  <fonts count="69" x14ac:knownFonts="1">
    <font>
      <sz val="10"/>
      <name val="Arial"/>
    </font>
    <font>
      <sz val="10"/>
      <name val="Arial"/>
      <family val="2"/>
    </font>
    <font>
      <sz val="10"/>
      <name val="Times New Roman"/>
      <family val="1"/>
    </font>
    <font>
      <b/>
      <sz val="11"/>
      <name val="Tahoma"/>
      <family val="2"/>
    </font>
    <font>
      <sz val="11"/>
      <name val="Tahoma"/>
      <family val="2"/>
    </font>
    <font>
      <b/>
      <sz val="10"/>
      <name val="Tahoma"/>
      <family val="2"/>
    </font>
    <font>
      <b/>
      <sz val="9"/>
      <name val="Tahoma"/>
      <family val="2"/>
    </font>
    <font>
      <sz val="10"/>
      <name val="Tahoma"/>
      <family val="2"/>
    </font>
    <font>
      <b/>
      <sz val="8"/>
      <name val="Tahoma"/>
      <family val="2"/>
    </font>
    <font>
      <sz val="8"/>
      <color indexed="81"/>
      <name val="Tahoma"/>
      <family val="2"/>
    </font>
    <font>
      <b/>
      <sz val="8"/>
      <color indexed="81"/>
      <name val="Tahoma"/>
      <family val="2"/>
    </font>
    <font>
      <sz val="10"/>
      <name val="Arial"/>
      <family val="2"/>
    </font>
    <font>
      <b/>
      <sz val="14"/>
      <name val="Tahoma"/>
      <family val="2"/>
    </font>
    <font>
      <b/>
      <sz val="10"/>
      <name val="Arial"/>
      <family val="2"/>
    </font>
    <font>
      <b/>
      <u/>
      <sz val="11"/>
      <name val="Tahoma"/>
      <family val="2"/>
    </font>
    <font>
      <sz val="8"/>
      <name val="Arial"/>
      <family val="2"/>
    </font>
    <font>
      <sz val="9"/>
      <name val="Tahoma"/>
      <family val="2"/>
    </font>
    <font>
      <u/>
      <sz val="10"/>
      <color indexed="12"/>
      <name val="Arial"/>
      <family val="2"/>
    </font>
    <font>
      <b/>
      <sz val="10"/>
      <name val="Times New Roman"/>
      <family val="1"/>
    </font>
    <font>
      <b/>
      <sz val="11"/>
      <name val="Times New Roman"/>
      <family val="1"/>
    </font>
    <font>
      <i/>
      <sz val="10"/>
      <name val="Times New Roman"/>
      <family val="1"/>
    </font>
    <font>
      <sz val="11"/>
      <name val="Times New Roman"/>
      <family val="1"/>
    </font>
    <font>
      <b/>
      <u/>
      <sz val="10"/>
      <name val="Tahoma"/>
      <family val="2"/>
    </font>
    <font>
      <sz val="11"/>
      <color rgb="FF000000"/>
      <name val="Calibri"/>
      <family val="2"/>
      <charset val="1"/>
    </font>
    <font>
      <sz val="10"/>
      <color rgb="FFFF0000"/>
      <name val="Tahoma"/>
      <family val="2"/>
    </font>
    <font>
      <sz val="10"/>
      <color theme="1"/>
      <name val="Times New Roman"/>
      <family val="1"/>
    </font>
    <font>
      <b/>
      <sz val="10"/>
      <color theme="1"/>
      <name val="Times New Roman"/>
      <family val="1"/>
    </font>
    <font>
      <b/>
      <i/>
      <sz val="10"/>
      <color theme="1"/>
      <name val="Times New Roman"/>
      <family val="1"/>
    </font>
    <font>
      <b/>
      <sz val="12"/>
      <name val="Arial"/>
      <family val="2"/>
    </font>
    <font>
      <sz val="12"/>
      <name val="Arial"/>
      <family val="2"/>
    </font>
    <font>
      <b/>
      <u val="singleAccounting"/>
      <sz val="12"/>
      <name val="Arial"/>
      <family val="2"/>
    </font>
    <font>
      <u/>
      <sz val="10"/>
      <name val="Tahoma"/>
      <family val="2"/>
    </font>
    <font>
      <b/>
      <sz val="9"/>
      <color indexed="81"/>
      <name val="Tahoma"/>
      <family val="2"/>
    </font>
    <font>
      <sz val="9"/>
      <color indexed="81"/>
      <name val="Tahoma"/>
      <family val="2"/>
    </font>
    <font>
      <b/>
      <sz val="14"/>
      <name val="Times New Roman"/>
      <family val="1"/>
    </font>
    <font>
      <u/>
      <sz val="10"/>
      <name val="Times New Roman"/>
      <family val="1"/>
    </font>
    <font>
      <b/>
      <u/>
      <sz val="11"/>
      <name val="Times New Roman"/>
      <family val="1"/>
    </font>
    <font>
      <b/>
      <u/>
      <sz val="10"/>
      <name val="Times New Roman"/>
      <family val="1"/>
    </font>
    <font>
      <b/>
      <sz val="11"/>
      <color theme="1"/>
      <name val="Times New Roman"/>
      <family val="1"/>
    </font>
    <font>
      <sz val="10"/>
      <color rgb="FF00B050"/>
      <name val="Times New Roman"/>
      <family val="1"/>
    </font>
    <font>
      <sz val="16"/>
      <name val="Tahoma"/>
      <family val="2"/>
    </font>
    <font>
      <sz val="20"/>
      <name val="Tahoma"/>
      <family val="2"/>
    </font>
    <font>
      <sz val="24"/>
      <name val="Tahoma"/>
      <family val="2"/>
    </font>
    <font>
      <sz val="48"/>
      <name val="Tahoma"/>
      <family val="2"/>
    </font>
    <font>
      <sz val="14"/>
      <name val="Tahoma"/>
      <family val="2"/>
    </font>
    <font>
      <b/>
      <sz val="16"/>
      <name val="Tahoma"/>
      <family val="2"/>
    </font>
    <font>
      <sz val="12"/>
      <name val="Tahoma"/>
      <family val="2"/>
    </font>
    <font>
      <i/>
      <sz val="9"/>
      <name val="Tahoma"/>
      <family val="2"/>
    </font>
    <font>
      <sz val="10"/>
      <color indexed="10"/>
      <name val="Tahoma"/>
      <family val="2"/>
    </font>
    <font>
      <b/>
      <sz val="10"/>
      <color indexed="8"/>
      <name val="Tahoma"/>
      <family val="2"/>
    </font>
    <font>
      <i/>
      <sz val="10"/>
      <name val="Tahoma"/>
      <family val="2"/>
    </font>
    <font>
      <sz val="10"/>
      <color rgb="FF000000"/>
      <name val="Tahoma"/>
      <family val="2"/>
    </font>
    <font>
      <sz val="9"/>
      <color indexed="8"/>
      <name val="Tahoma"/>
      <family val="2"/>
    </font>
    <font>
      <b/>
      <sz val="9"/>
      <color indexed="8"/>
      <name val="Tahoma"/>
      <family val="2"/>
    </font>
    <font>
      <sz val="10"/>
      <color theme="1"/>
      <name val="Tahoma"/>
      <family val="2"/>
    </font>
    <font>
      <b/>
      <sz val="10"/>
      <color theme="1"/>
      <name val="Tahoma"/>
      <family val="2"/>
    </font>
    <font>
      <b/>
      <i/>
      <sz val="10"/>
      <color theme="1"/>
      <name val="Tahoma"/>
      <family val="2"/>
    </font>
    <font>
      <b/>
      <i/>
      <sz val="10"/>
      <name val="Tahoma"/>
      <family val="2"/>
    </font>
    <font>
      <sz val="10"/>
      <color indexed="8"/>
      <name val="Tahoma"/>
      <family val="2"/>
    </font>
    <font>
      <b/>
      <sz val="11"/>
      <color theme="1"/>
      <name val="Tahoma"/>
      <family val="2"/>
    </font>
    <font>
      <sz val="10"/>
      <color rgb="FF00B050"/>
      <name val="Tahoma"/>
      <family val="2"/>
    </font>
    <font>
      <i/>
      <sz val="10"/>
      <color indexed="8"/>
      <name val="Tahoma"/>
      <family val="2"/>
    </font>
    <font>
      <sz val="10"/>
      <color theme="3"/>
      <name val="Tahoma"/>
      <family val="2"/>
    </font>
    <font>
      <i/>
      <sz val="10"/>
      <color theme="1"/>
      <name val="Tahoma"/>
      <family val="2"/>
    </font>
    <font>
      <sz val="10"/>
      <color theme="4"/>
      <name val="Tahoma"/>
      <family val="2"/>
    </font>
    <font>
      <sz val="10"/>
      <color rgb="FFFFFF00"/>
      <name val="Tahoma"/>
      <family val="2"/>
    </font>
    <font>
      <sz val="11"/>
      <color rgb="FFC00000"/>
      <name val="Tahoma"/>
      <family val="2"/>
    </font>
    <font>
      <sz val="11"/>
      <color theme="1"/>
      <name val="Tahoma"/>
      <family val="2"/>
    </font>
    <fon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bottom/>
      <diagonal/>
    </border>
    <border>
      <left/>
      <right/>
      <top style="double">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double">
        <color indexed="64"/>
      </left>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ashed">
        <color indexed="64"/>
      </top>
      <bottom style="dashed">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tted">
        <color indexed="64"/>
      </bottom>
      <diagonal/>
    </border>
    <border>
      <left/>
      <right/>
      <top style="medium">
        <color indexed="64"/>
      </top>
      <bottom style="thin">
        <color indexed="64"/>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double">
        <color indexed="64"/>
      </bottom>
      <diagonal/>
    </border>
    <border>
      <left style="double">
        <color indexed="64"/>
      </left>
      <right/>
      <top style="dotted">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style="thin">
        <color indexed="64"/>
      </right>
      <top/>
      <bottom style="dashed">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dotted">
        <color indexed="64"/>
      </top>
      <bottom/>
      <diagonal/>
    </border>
    <border>
      <left/>
      <right style="double">
        <color indexed="64"/>
      </right>
      <top style="medium">
        <color indexed="64"/>
      </top>
      <bottom/>
      <diagonal/>
    </border>
    <border>
      <left/>
      <right style="thin">
        <color indexed="64"/>
      </right>
      <top/>
      <bottom style="thick">
        <color indexed="64"/>
      </bottom>
      <diagonal/>
    </border>
    <border>
      <left style="thin">
        <color indexed="64"/>
      </left>
      <right style="thin">
        <color indexed="64"/>
      </right>
      <top style="dotted">
        <color indexed="64"/>
      </top>
      <bottom style="hair">
        <color indexed="64"/>
      </bottom>
      <diagonal/>
    </border>
    <border>
      <left/>
      <right/>
      <top/>
      <bottom style="dotted">
        <color indexed="64"/>
      </bottom>
      <diagonal/>
    </border>
    <border>
      <left style="double">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style="double">
        <color indexed="64"/>
      </left>
      <right/>
      <top style="thick">
        <color indexed="64"/>
      </top>
      <bottom style="thick">
        <color indexed="64"/>
      </bottom>
      <diagonal/>
    </border>
    <border>
      <left style="double">
        <color indexed="64"/>
      </left>
      <right/>
      <top style="thick">
        <color indexed="64"/>
      </top>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right style="medium">
        <color indexed="64"/>
      </right>
      <top/>
      <bottom style="medium">
        <color indexed="64"/>
      </bottom>
      <diagonal/>
    </border>
    <border>
      <left/>
      <right style="medium">
        <color indexed="64"/>
      </right>
      <top style="double">
        <color indexed="64"/>
      </top>
      <bottom/>
      <diagonal/>
    </border>
    <border>
      <left style="double">
        <color indexed="64"/>
      </left>
      <right/>
      <top style="medium">
        <color indexed="64"/>
      </top>
      <bottom/>
      <diagonal/>
    </border>
    <border>
      <left/>
      <right style="medium">
        <color indexed="8"/>
      </right>
      <top style="medium">
        <color indexed="64"/>
      </top>
      <bottom/>
      <diagonal/>
    </border>
    <border>
      <left/>
      <right style="medium">
        <color indexed="8"/>
      </right>
      <top/>
      <bottom style="thin">
        <color indexed="64"/>
      </bottom>
      <diagonal/>
    </border>
    <border>
      <left style="thin">
        <color indexed="64"/>
      </left>
      <right/>
      <top style="double">
        <color indexed="64"/>
      </top>
      <bottom style="thin">
        <color indexed="64"/>
      </bottom>
      <diagonal/>
    </border>
    <border>
      <left style="double">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bottom style="thick">
        <color indexed="64"/>
      </bottom>
      <diagonal/>
    </border>
    <border>
      <left/>
      <right style="medium">
        <color indexed="8"/>
      </right>
      <top/>
      <bottom style="medium">
        <color indexed="64"/>
      </bottom>
      <diagonal/>
    </border>
    <border>
      <left/>
      <right style="double">
        <color indexed="64"/>
      </right>
      <top/>
      <bottom style="medium">
        <color indexed="8"/>
      </bottom>
      <diagonal/>
    </border>
    <border>
      <left/>
      <right/>
      <top style="double">
        <color indexed="64"/>
      </top>
      <bottom style="dotted">
        <color indexed="64"/>
      </bottom>
      <diagonal/>
    </border>
    <border>
      <left/>
      <right style="double">
        <color indexed="64"/>
      </right>
      <top style="double">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dotted">
        <color indexed="64"/>
      </bottom>
      <diagonal/>
    </border>
    <border>
      <left/>
      <right style="thin">
        <color indexed="64"/>
      </right>
      <top style="double">
        <color indexed="64"/>
      </top>
      <bottom/>
      <diagonal/>
    </border>
    <border>
      <left/>
      <right style="thick">
        <color indexed="64"/>
      </right>
      <top style="double">
        <color indexed="64"/>
      </top>
      <bottom style="thin">
        <color indexed="64"/>
      </bottom>
      <diagonal/>
    </border>
    <border>
      <left/>
      <right style="thin">
        <color indexed="8"/>
      </right>
      <top/>
      <bottom/>
      <diagonal/>
    </border>
    <border>
      <left style="thin">
        <color indexed="8"/>
      </left>
      <right/>
      <top/>
      <bottom/>
      <diagonal/>
    </border>
    <border>
      <left/>
      <right style="double">
        <color indexed="64"/>
      </right>
      <top style="medium">
        <color indexed="64"/>
      </top>
      <bottom style="thin">
        <color indexed="64"/>
      </bottom>
      <diagonal/>
    </border>
    <border>
      <left style="double">
        <color indexed="64"/>
      </left>
      <right style="thin">
        <color indexed="64"/>
      </right>
      <top style="double">
        <color indexed="64"/>
      </top>
      <bottom style="dotted">
        <color indexed="64"/>
      </bottom>
      <diagonal/>
    </border>
    <border>
      <left/>
      <right style="dashed">
        <color indexed="64"/>
      </right>
      <top style="dotted">
        <color indexed="64"/>
      </top>
      <bottom style="dotted">
        <color indexed="64"/>
      </bottom>
      <diagonal/>
    </border>
    <border>
      <left style="thin">
        <color indexed="64"/>
      </left>
      <right style="double">
        <color indexed="64"/>
      </right>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bottom style="dashed">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rgb="FF000000"/>
      </left>
      <right style="thin">
        <color rgb="FF000000"/>
      </right>
      <top style="dotted">
        <color indexed="64"/>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dotted">
        <color rgb="FF000000"/>
      </bottom>
      <diagonal/>
    </border>
    <border>
      <left/>
      <right style="thin">
        <color rgb="FF000000"/>
      </right>
      <top style="dotted">
        <color rgb="FF000000"/>
      </top>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dotted">
        <color rgb="FF000000"/>
      </top>
      <bottom style="dotted">
        <color indexed="64"/>
      </bottom>
      <diagonal/>
    </border>
    <border>
      <left style="thin">
        <color rgb="FF000000"/>
      </left>
      <right/>
      <top style="dotted">
        <color indexed="64"/>
      </top>
      <bottom style="dotted">
        <color rgb="FF000000"/>
      </bottom>
      <diagonal/>
    </border>
    <border>
      <left style="thin">
        <color auto="1"/>
      </left>
      <right style="double">
        <color auto="1"/>
      </right>
      <top/>
      <bottom/>
      <diagonal/>
    </border>
    <border>
      <left style="thin">
        <color indexed="64"/>
      </left>
      <right style="thin">
        <color indexed="64"/>
      </right>
      <top/>
      <bottom/>
      <diagonal/>
    </border>
    <border>
      <left style="thin">
        <color indexed="64"/>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style="double">
        <color indexed="64"/>
      </left>
      <right style="thin">
        <color indexed="64"/>
      </right>
      <top style="thin">
        <color indexed="64"/>
      </top>
      <bottom style="double">
        <color indexed="64"/>
      </bottom>
      <diagonal/>
    </border>
    <border>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top style="dotted">
        <color indexed="64"/>
      </top>
      <bottom style="hair">
        <color rgb="FF000000"/>
      </bottom>
      <diagonal/>
    </border>
    <border>
      <left style="thin">
        <color rgb="FF000000"/>
      </left>
      <right/>
      <top style="dotted">
        <color indexed="64"/>
      </top>
      <bottom style="hair">
        <color rgb="FF000000"/>
      </bottom>
      <diagonal/>
    </border>
    <border>
      <left style="thin">
        <color rgb="FF000000"/>
      </left>
      <right style="thin">
        <color rgb="FF000000"/>
      </right>
      <top style="dotted">
        <color indexed="64"/>
      </top>
      <bottom style="hair">
        <color rgb="FF000000"/>
      </bottom>
      <diagonal/>
    </border>
    <border>
      <left style="thin">
        <color indexed="64"/>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64"/>
      </left>
      <right/>
      <top style="hair">
        <color rgb="FF000000"/>
      </top>
      <bottom style="dotted">
        <color indexed="64"/>
      </bottom>
      <diagonal/>
    </border>
    <border>
      <left style="thin">
        <color rgb="FF000000"/>
      </left>
      <right/>
      <top style="hair">
        <color rgb="FF000000"/>
      </top>
      <bottom style="dotted">
        <color indexed="64"/>
      </bottom>
      <diagonal/>
    </border>
    <border>
      <left style="thin">
        <color rgb="FF000000"/>
      </left>
      <right style="thin">
        <color rgb="FF000000"/>
      </right>
      <top style="hair">
        <color rgb="FF000000"/>
      </top>
      <bottom style="dotted">
        <color indexed="64"/>
      </bottom>
      <diagonal/>
    </border>
    <border>
      <left style="thin">
        <color rgb="FF000000"/>
      </left>
      <right/>
      <top style="dotted">
        <color rgb="FF000000"/>
      </top>
      <bottom/>
      <diagonal/>
    </border>
    <border>
      <left style="thin">
        <color rgb="FF000000"/>
      </left>
      <right style="thin">
        <color rgb="FF000000"/>
      </right>
      <top style="dotted">
        <color indexed="64"/>
      </top>
      <bottom style="dotted">
        <color indexed="64"/>
      </bottom>
      <diagonal/>
    </border>
    <border>
      <left/>
      <right style="thin">
        <color rgb="FF000000"/>
      </right>
      <top style="hair">
        <color rgb="FF000000"/>
      </top>
      <bottom/>
      <diagonal/>
    </border>
    <border>
      <left/>
      <right style="thin">
        <color indexed="64"/>
      </right>
      <top style="hair">
        <color rgb="FF000000"/>
      </top>
      <bottom style="dotted">
        <color indexed="64"/>
      </bottom>
      <diagonal/>
    </border>
    <border>
      <left style="double">
        <color indexed="64"/>
      </left>
      <right style="thin">
        <color indexed="64"/>
      </right>
      <top style="double">
        <color indexed="64"/>
      </top>
      <bottom style="hair">
        <color indexed="64"/>
      </bottom>
      <diagonal/>
    </border>
    <border>
      <left/>
      <right/>
      <top style="hair">
        <color indexed="64"/>
      </top>
      <bottom style="hair">
        <color indexed="64"/>
      </bottom>
      <diagonal/>
    </border>
    <border>
      <left style="double">
        <color indexed="64"/>
      </left>
      <right style="thin">
        <color indexed="64"/>
      </right>
      <top/>
      <bottom style="dotted">
        <color indexed="64"/>
      </bottom>
      <diagonal/>
    </border>
    <border>
      <left/>
      <right/>
      <top style="thick">
        <color indexed="64"/>
      </top>
      <bottom/>
      <diagonal/>
    </border>
    <border>
      <left/>
      <right style="double">
        <color indexed="64"/>
      </right>
      <top style="thick">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rgb="FF000000"/>
      </right>
      <top style="dotted">
        <color indexed="64"/>
      </top>
      <bottom style="dotted">
        <color rgb="FF000000"/>
      </bottom>
      <diagonal/>
    </border>
    <border>
      <left style="thin">
        <color indexed="64"/>
      </left>
      <right style="thin">
        <color rgb="FF000000"/>
      </right>
      <top style="dotted">
        <color rgb="FF000000"/>
      </top>
      <bottom style="dotted">
        <color rgb="FF000000"/>
      </bottom>
      <diagonal/>
    </border>
    <border>
      <left style="double">
        <color indexed="64"/>
      </left>
      <right style="thin">
        <color indexed="64"/>
      </right>
      <top style="dotted">
        <color indexed="64"/>
      </top>
      <bottom style="thin">
        <color indexed="64"/>
      </bottom>
      <diagonal/>
    </border>
    <border>
      <left style="thin">
        <color indexed="64"/>
      </left>
      <right/>
      <top style="hair">
        <color indexed="64"/>
      </top>
      <bottom style="dott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top/>
      <bottom style="dashed">
        <color indexed="64"/>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style="hair">
        <color indexed="64"/>
      </bottom>
      <diagonal/>
    </border>
    <border>
      <left style="double">
        <color indexed="64"/>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41" fontId="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0" fontId="17" fillId="0" borderId="0" applyNumberFormat="0" applyFill="0" applyBorder="0" applyAlignment="0" applyProtection="0">
      <alignment vertical="top"/>
      <protection locked="0"/>
    </xf>
    <xf numFmtId="0" fontId="23"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0" fontId="1" fillId="0" borderId="0"/>
  </cellStyleXfs>
  <cellXfs count="3139">
    <xf numFmtId="0" fontId="0" fillId="0" borderId="0" xfId="0"/>
    <xf numFmtId="0" fontId="12" fillId="0" borderId="6" xfId="0" applyFont="1" applyBorder="1" applyAlignment="1">
      <alignment vertical="center" wrapText="1"/>
    </xf>
    <xf numFmtId="0" fontId="5" fillId="0" borderId="13" xfId="0" applyFont="1" applyBorder="1" applyAlignment="1">
      <alignment horizontal="center" wrapText="1"/>
    </xf>
    <xf numFmtId="0" fontId="2" fillId="0" borderId="0" xfId="0" applyFont="1" applyBorder="1" applyAlignment="1"/>
    <xf numFmtId="0" fontId="3" fillId="0" borderId="0" xfId="0" applyFont="1" applyBorder="1" applyAlignment="1"/>
    <xf numFmtId="0" fontId="7" fillId="0" borderId="51" xfId="0" applyFont="1" applyBorder="1" applyAlignment="1">
      <alignment horizontal="center" wrapText="1"/>
    </xf>
    <xf numFmtId="0" fontId="7" fillId="0" borderId="46" xfId="0" quotePrefix="1" applyFont="1" applyBorder="1" applyAlignment="1">
      <alignment horizontal="center" wrapText="1"/>
    </xf>
    <xf numFmtId="0" fontId="12" fillId="0" borderId="54" xfId="0" applyFont="1" applyBorder="1" applyAlignment="1">
      <alignment vertical="center" wrapText="1"/>
    </xf>
    <xf numFmtId="0" fontId="12" fillId="0" borderId="23" xfId="0" applyFont="1" applyBorder="1" applyAlignment="1">
      <alignment vertical="center" wrapText="1"/>
    </xf>
    <xf numFmtId="0" fontId="2" fillId="0" borderId="53" xfId="0" applyFont="1" applyBorder="1" applyAlignment="1"/>
    <xf numFmtId="0" fontId="4" fillId="0" borderId="0" xfId="9" applyFont="1" applyBorder="1" applyAlignment="1"/>
    <xf numFmtId="0" fontId="4" fillId="0" borderId="0" xfId="0" applyFont="1" applyBorder="1" applyAlignment="1">
      <alignment horizontal="left"/>
    </xf>
    <xf numFmtId="0" fontId="12" fillId="0" borderId="78" xfId="0" applyFont="1" applyBorder="1" applyAlignment="1">
      <alignment vertical="center" wrapText="1"/>
    </xf>
    <xf numFmtId="0" fontId="8" fillId="0" borderId="59" xfId="0" applyFont="1" applyBorder="1" applyAlignment="1">
      <alignment horizontal="center"/>
    </xf>
    <xf numFmtId="0" fontId="3" fillId="0" borderId="57" xfId="0" applyFont="1" applyBorder="1" applyAlignment="1"/>
    <xf numFmtId="0" fontId="14" fillId="0" borderId="0" xfId="0" applyFont="1" applyBorder="1" applyAlignment="1"/>
    <xf numFmtId="0" fontId="8" fillId="0" borderId="81" xfId="0" applyFont="1" applyBorder="1" applyAlignment="1">
      <alignment horizontal="center"/>
    </xf>
    <xf numFmtId="167" fontId="0" fillId="0" borderId="0" xfId="0" applyNumberFormat="1"/>
    <xf numFmtId="41" fontId="0" fillId="0" borderId="0" xfId="0" applyNumberFormat="1"/>
    <xf numFmtId="0" fontId="7" fillId="0" borderId="0" xfId="0" applyFont="1" applyBorder="1" applyAlignment="1">
      <alignment wrapText="1"/>
    </xf>
    <xf numFmtId="0" fontId="7" fillId="0" borderId="0" xfId="0" applyFont="1" applyBorder="1" applyAlignment="1"/>
    <xf numFmtId="0" fontId="5" fillId="0" borderId="0" xfId="0" applyFont="1" applyBorder="1" applyAlignment="1"/>
    <xf numFmtId="0" fontId="5" fillId="0" borderId="53" xfId="0" applyFont="1" applyBorder="1" applyAlignment="1"/>
    <xf numFmtId="0" fontId="22" fillId="0" borderId="0" xfId="0" applyFont="1" applyBorder="1" applyAlignment="1"/>
    <xf numFmtId="167" fontId="5" fillId="0" borderId="0" xfId="1" applyNumberFormat="1" applyFont="1" applyBorder="1" applyAlignment="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95" xfId="0" applyNumberFormat="1" applyBorder="1" applyAlignment="1">
      <alignment vertical="top" wrapText="1"/>
    </xf>
    <xf numFmtId="0" fontId="0" fillId="0" borderId="96" xfId="0" applyBorder="1" applyAlignment="1">
      <alignment vertical="top" wrapText="1"/>
    </xf>
    <xf numFmtId="0" fontId="0" fillId="0" borderId="97" xfId="0" applyBorder="1" applyAlignment="1">
      <alignment vertical="top" wrapText="1"/>
    </xf>
    <xf numFmtId="0" fontId="0" fillId="0" borderId="98"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96" xfId="0" applyBorder="1" applyAlignment="1">
      <alignment horizontal="center" vertical="top" wrapText="1"/>
    </xf>
    <xf numFmtId="0" fontId="0" fillId="0" borderId="99" xfId="0" applyBorder="1" applyAlignment="1">
      <alignment horizontal="center" vertical="top" wrapText="1"/>
    </xf>
    <xf numFmtId="0" fontId="0" fillId="0" borderId="98" xfId="0" applyBorder="1" applyAlignment="1">
      <alignment horizontal="center" vertical="top" wrapText="1"/>
    </xf>
    <xf numFmtId="0" fontId="17" fillId="0" borderId="100" xfId="7" applyNumberFormat="1" applyBorder="1" applyAlignment="1" applyProtection="1">
      <alignment horizontal="center" vertical="top" wrapText="1"/>
    </xf>
    <xf numFmtId="0" fontId="4" fillId="0" borderId="57" xfId="0" applyFont="1" applyBorder="1" applyAlignment="1"/>
    <xf numFmtId="0" fontId="14" fillId="0" borderId="57" xfId="0" applyFont="1" applyBorder="1" applyAlignment="1"/>
    <xf numFmtId="0" fontId="7" fillId="0" borderId="0" xfId="0" applyFont="1" applyBorder="1" applyAlignment="1">
      <alignment horizontal="center"/>
    </xf>
    <xf numFmtId="0" fontId="5" fillId="0" borderId="6" xfId="0" applyFont="1" applyBorder="1" applyAlignment="1"/>
    <xf numFmtId="0" fontId="5" fillId="0" borderId="57" xfId="0" applyFont="1" applyBorder="1" applyAlignment="1"/>
    <xf numFmtId="0" fontId="22" fillId="0" borderId="57" xfId="0" applyFont="1" applyBorder="1" applyAlignment="1"/>
    <xf numFmtId="167" fontId="3" fillId="0" borderId="0" xfId="0" applyNumberFormat="1" applyFont="1" applyBorder="1" applyAlignment="1"/>
    <xf numFmtId="0" fontId="7" fillId="0" borderId="108" xfId="0" applyFont="1" applyBorder="1" applyAlignment="1">
      <alignment horizontal="center" wrapText="1"/>
    </xf>
    <xf numFmtId="0" fontId="7" fillId="0" borderId="51" xfId="0" quotePrefix="1" applyFont="1" applyBorder="1" applyAlignment="1">
      <alignment wrapText="1"/>
    </xf>
    <xf numFmtId="43" fontId="25" fillId="0" borderId="12" xfId="8" applyNumberFormat="1" applyFont="1" applyBorder="1" applyAlignment="1">
      <alignment horizontal="center" wrapText="1"/>
    </xf>
    <xf numFmtId="43" fontId="25" fillId="0" borderId="10" xfId="8" applyNumberFormat="1" applyFont="1" applyBorder="1" applyAlignment="1">
      <alignment horizontal="center" wrapText="1"/>
    </xf>
    <xf numFmtId="43" fontId="27" fillId="0" borderId="12" xfId="8" applyNumberFormat="1" applyFont="1" applyBorder="1" applyAlignment="1">
      <alignment horizontal="center" wrapText="1"/>
    </xf>
    <xf numFmtId="43" fontId="27" fillId="0" borderId="10" xfId="8" applyNumberFormat="1" applyFont="1" applyBorder="1" applyAlignment="1">
      <alignment horizontal="center" wrapText="1"/>
    </xf>
    <xf numFmtId="43" fontId="25" fillId="0" borderId="11" xfId="8" applyNumberFormat="1" applyFont="1" applyFill="1" applyBorder="1" applyAlignment="1">
      <alignment horizontal="center" wrapText="1"/>
    </xf>
    <xf numFmtId="43" fontId="25" fillId="0" borderId="12" xfId="8" applyNumberFormat="1" applyFont="1" applyFill="1" applyBorder="1" applyAlignment="1">
      <alignment horizontal="center" wrapText="1"/>
    </xf>
    <xf numFmtId="167" fontId="25" fillId="0" borderId="12" xfId="8" applyNumberFormat="1" applyFont="1" applyFill="1" applyBorder="1" applyAlignment="1">
      <alignment horizontal="center" wrapText="1"/>
    </xf>
    <xf numFmtId="167" fontId="25" fillId="0" borderId="10" xfId="8" applyNumberFormat="1" applyFont="1" applyFill="1" applyBorder="1" applyAlignment="1">
      <alignment horizontal="center" wrapText="1"/>
    </xf>
    <xf numFmtId="43" fontId="25" fillId="0" borderId="10" xfId="8" applyNumberFormat="1" applyFont="1" applyFill="1" applyBorder="1" applyAlignment="1">
      <alignment horizontal="center" wrapText="1"/>
    </xf>
    <xf numFmtId="43" fontId="27" fillId="0" borderId="10" xfId="8" applyNumberFormat="1" applyFont="1" applyFill="1" applyBorder="1" applyAlignment="1">
      <alignment horizontal="center" wrapText="1"/>
    </xf>
    <xf numFmtId="43" fontId="27" fillId="0" borderId="12" xfId="8" applyNumberFormat="1" applyFont="1" applyFill="1" applyBorder="1" applyAlignment="1">
      <alignment horizontal="center" wrapText="1"/>
    </xf>
    <xf numFmtId="43" fontId="25" fillId="0" borderId="11" xfId="8" applyNumberFormat="1" applyFont="1" applyBorder="1" applyAlignment="1">
      <alignment horizontal="center" wrapText="1"/>
    </xf>
    <xf numFmtId="167" fontId="25" fillId="0" borderId="12" xfId="8" applyNumberFormat="1" applyFont="1" applyBorder="1" applyAlignment="1">
      <alignment horizontal="center" wrapText="1"/>
    </xf>
    <xf numFmtId="3" fontId="7" fillId="0" borderId="0" xfId="9" applyNumberFormat="1" applyFont="1" applyBorder="1" applyAlignment="1"/>
    <xf numFmtId="0" fontId="28" fillId="0" borderId="0" xfId="0" applyFont="1"/>
    <xf numFmtId="0" fontId="29" fillId="0" borderId="0" xfId="0" applyFont="1"/>
    <xf numFmtId="167" fontId="28" fillId="0" borderId="0" xfId="1" applyNumberFormat="1" applyFont="1"/>
    <xf numFmtId="167" fontId="29" fillId="0" borderId="0" xfId="1" applyNumberFormat="1" applyFont="1"/>
    <xf numFmtId="167" fontId="30" fillId="0" borderId="0" xfId="1" applyNumberFormat="1" applyFont="1"/>
    <xf numFmtId="167" fontId="29" fillId="0" borderId="0" xfId="0" applyNumberFormat="1" applyFont="1"/>
    <xf numFmtId="0" fontId="3" fillId="0" borderId="0" xfId="0" applyFont="1" applyBorder="1" applyAlignment="1">
      <alignment horizontal="center"/>
    </xf>
    <xf numFmtId="0" fontId="4" fillId="0" borderId="0" xfId="0" applyFont="1" applyBorder="1" applyAlignment="1">
      <alignment horizontal="justify" wrapText="1"/>
    </xf>
    <xf numFmtId="0" fontId="4" fillId="0" borderId="0" xfId="0" applyFont="1" applyBorder="1" applyAlignment="1">
      <alignment horizontal="left" wrapText="1"/>
    </xf>
    <xf numFmtId="167" fontId="5" fillId="0" borderId="0" xfId="1" applyNumberFormat="1" applyFont="1" applyBorder="1" applyAlignment="1">
      <alignment horizontal="center"/>
    </xf>
    <xf numFmtId="43" fontId="16" fillId="0" borderId="0" xfId="1" applyFont="1" applyBorder="1"/>
    <xf numFmtId="167" fontId="7" fillId="0" borderId="0" xfId="1" applyNumberFormat="1" applyFont="1" applyBorder="1" applyAlignment="1">
      <alignment horizontal="center"/>
    </xf>
    <xf numFmtId="43" fontId="7" fillId="0" borderId="0" xfId="1" applyFont="1" applyBorder="1"/>
    <xf numFmtId="167" fontId="5" fillId="0" borderId="0" xfId="0" applyNumberFormat="1" applyFont="1" applyBorder="1" applyAlignment="1">
      <alignment horizontal="center" wrapText="1"/>
    </xf>
    <xf numFmtId="41" fontId="7" fillId="0" borderId="0" xfId="2" applyFont="1" applyBorder="1"/>
    <xf numFmtId="167" fontId="5" fillId="0" borderId="0" xfId="1" applyNumberFormat="1" applyFont="1" applyBorder="1"/>
    <xf numFmtId="41" fontId="7" fillId="0" borderId="0" xfId="2" applyFont="1" applyBorder="1" applyAlignment="1">
      <alignment horizontal="center"/>
    </xf>
    <xf numFmtId="41" fontId="24" fillId="0" borderId="0" xfId="2" applyFont="1" applyBorder="1"/>
    <xf numFmtId="167" fontId="5" fillId="0" borderId="53" xfId="1" applyNumberFormat="1" applyFont="1" applyBorder="1" applyAlignment="1"/>
    <xf numFmtId="167" fontId="7" fillId="0" borderId="0" xfId="1" applyNumberFormat="1" applyFont="1" applyBorder="1"/>
    <xf numFmtId="0" fontId="29" fillId="0" borderId="0" xfId="0" applyFont="1" applyAlignment="1">
      <alignment wrapText="1"/>
    </xf>
    <xf numFmtId="43" fontId="25" fillId="3" borderId="11" xfId="8" applyNumberFormat="1" applyFont="1" applyFill="1" applyBorder="1" applyAlignment="1">
      <alignment horizontal="center" wrapText="1"/>
    </xf>
    <xf numFmtId="167" fontId="25" fillId="3" borderId="12" xfId="8" applyNumberFormat="1" applyFont="1" applyFill="1" applyBorder="1" applyAlignment="1">
      <alignment horizontal="center" wrapText="1"/>
    </xf>
    <xf numFmtId="0" fontId="5" fillId="3" borderId="13" xfId="0" applyFont="1" applyFill="1" applyBorder="1" applyAlignment="1">
      <alignment horizontal="center" wrapText="1"/>
    </xf>
    <xf numFmtId="43" fontId="25" fillId="3" borderId="12" xfId="8" applyNumberFormat="1" applyFont="1" applyFill="1" applyBorder="1" applyAlignment="1">
      <alignment horizontal="center" wrapText="1"/>
    </xf>
    <xf numFmtId="167" fontId="25" fillId="3" borderId="10" xfId="8" applyNumberFormat="1" applyFont="1" applyFill="1" applyBorder="1" applyAlignment="1">
      <alignment horizontal="center" wrapText="1"/>
    </xf>
    <xf numFmtId="0" fontId="5" fillId="3" borderId="0" xfId="0" applyFont="1" applyFill="1" applyBorder="1" applyAlignment="1">
      <alignment horizontal="center" wrapText="1"/>
    </xf>
    <xf numFmtId="0" fontId="5" fillId="3" borderId="88" xfId="0" applyFont="1" applyFill="1" applyBorder="1" applyAlignment="1">
      <alignment horizontal="center" wrapText="1"/>
    </xf>
    <xf numFmtId="167" fontId="2" fillId="3" borderId="0" xfId="0" applyNumberFormat="1" applyFont="1" applyFill="1" applyBorder="1" applyAlignment="1">
      <alignment horizontal="center" wrapText="1"/>
    </xf>
    <xf numFmtId="0" fontId="5" fillId="3" borderId="76" xfId="0" applyFont="1" applyFill="1" applyBorder="1" applyAlignment="1">
      <alignment horizontal="center" wrapText="1"/>
    </xf>
    <xf numFmtId="0" fontId="5" fillId="3" borderId="77" xfId="0" applyFont="1" applyFill="1" applyBorder="1" applyAlignment="1">
      <alignment horizontal="center" wrapText="1"/>
    </xf>
    <xf numFmtId="167" fontId="2" fillId="0" borderId="0" xfId="0" applyNumberFormat="1" applyFont="1" applyFill="1" applyBorder="1" applyAlignment="1">
      <alignment horizontal="center" wrapText="1"/>
    </xf>
    <xf numFmtId="167" fontId="18" fillId="3" borderId="88" xfId="0" applyNumberFormat="1" applyFont="1" applyFill="1" applyBorder="1" applyAlignment="1">
      <alignment horizontal="center" vertical="center"/>
    </xf>
    <xf numFmtId="167" fontId="18" fillId="0" borderId="8" xfId="0" applyNumberFormat="1" applyFont="1" applyBorder="1" applyAlignment="1">
      <alignment horizontal="center" vertical="center"/>
    </xf>
    <xf numFmtId="0" fontId="12" fillId="0" borderId="0" xfId="0" applyFont="1" applyBorder="1" applyAlignment="1">
      <alignment vertical="center" wrapText="1"/>
    </xf>
    <xf numFmtId="0" fontId="12" fillId="0" borderId="53" xfId="0" applyFont="1" applyBorder="1" applyAlignment="1">
      <alignment vertical="center" wrapText="1"/>
    </xf>
    <xf numFmtId="0" fontId="31" fillId="0" borderId="0" xfId="0" applyFont="1" applyBorder="1" applyAlignment="1"/>
    <xf numFmtId="0" fontId="7" fillId="0" borderId="53" xfId="0" applyFont="1" applyBorder="1" applyAlignment="1">
      <alignment wrapText="1"/>
    </xf>
    <xf numFmtId="166" fontId="7" fillId="0" borderId="0" xfId="6" applyFont="1" applyBorder="1" applyAlignment="1">
      <alignment wrapText="1"/>
    </xf>
    <xf numFmtId="166" fontId="7" fillId="0" borderId="53" xfId="6" applyFont="1" applyBorder="1" applyAlignment="1">
      <alignment wrapText="1"/>
    </xf>
    <xf numFmtId="166" fontId="7" fillId="0" borderId="53" xfId="6" applyFont="1" applyBorder="1" applyAlignment="1">
      <alignment horizontal="center" wrapText="1"/>
    </xf>
    <xf numFmtId="0" fontId="22" fillId="0" borderId="53" xfId="0" applyFont="1" applyBorder="1" applyAlignment="1"/>
    <xf numFmtId="0" fontId="4" fillId="0" borderId="5" xfId="9" applyFont="1" applyBorder="1" applyAlignment="1">
      <alignment horizontal="center"/>
    </xf>
    <xf numFmtId="0" fontId="4" fillId="0" borderId="13" xfId="9" applyFont="1" applyBorder="1" applyAlignment="1">
      <alignment horizontal="center"/>
    </xf>
    <xf numFmtId="164" fontId="4" fillId="0" borderId="46" xfId="0" applyNumberFormat="1" applyFont="1" applyBorder="1" applyAlignment="1"/>
    <xf numFmtId="164" fontId="4" fillId="0" borderId="137" xfId="0" applyNumberFormat="1" applyFont="1" applyBorder="1" applyAlignment="1"/>
    <xf numFmtId="0" fontId="7" fillId="0" borderId="5" xfId="0" applyFont="1" applyBorder="1" applyAlignment="1">
      <alignment horizontal="left"/>
    </xf>
    <xf numFmtId="0" fontId="7" fillId="0" borderId="13" xfId="0" applyFont="1" applyBorder="1" applyAlignment="1">
      <alignment horizontal="left"/>
    </xf>
    <xf numFmtId="166" fontId="7" fillId="0" borderId="57" xfId="6" applyFont="1" applyBorder="1" applyAlignment="1">
      <alignment wrapText="1"/>
    </xf>
    <xf numFmtId="0" fontId="14" fillId="0" borderId="0" xfId="0" applyFont="1" applyBorder="1" applyAlignment="1">
      <alignment horizontal="center"/>
    </xf>
    <xf numFmtId="166" fontId="7" fillId="0" borderId="0" xfId="6" applyFont="1" applyBorder="1" applyAlignment="1">
      <alignment horizontal="center" wrapText="1"/>
    </xf>
    <xf numFmtId="166" fontId="7" fillId="0" borderId="57" xfId="6" applyFont="1" applyBorder="1" applyAlignment="1">
      <alignment horizontal="center" wrapText="1"/>
    </xf>
    <xf numFmtId="0" fontId="5" fillId="0" borderId="0" xfId="0" applyFont="1" applyBorder="1" applyAlignment="1">
      <alignment horizontal="center" wrapText="1"/>
    </xf>
    <xf numFmtId="0" fontId="7" fillId="0" borderId="46" xfId="0" applyFont="1" applyBorder="1" applyAlignment="1">
      <alignment horizontal="center" wrapText="1"/>
    </xf>
    <xf numFmtId="0" fontId="4" fillId="0" borderId="76" xfId="0" applyFont="1" applyBorder="1" applyAlignment="1">
      <alignment horizontal="center"/>
    </xf>
    <xf numFmtId="0" fontId="4" fillId="0" borderId="5" xfId="0" applyFont="1" applyBorder="1" applyAlignment="1">
      <alignment horizontal="center"/>
    </xf>
    <xf numFmtId="0" fontId="16" fillId="0" borderId="147" xfId="0" applyFont="1" applyBorder="1" applyAlignment="1">
      <alignment horizontal="center"/>
    </xf>
    <xf numFmtId="0" fontId="16" fillId="0" borderId="15" xfId="0" applyFont="1" applyBorder="1" applyAlignment="1">
      <alignment horizontal="center" wrapText="1"/>
    </xf>
    <xf numFmtId="0" fontId="16" fillId="0" borderId="61" xfId="0" applyFont="1" applyBorder="1" applyAlignment="1">
      <alignment horizontal="center"/>
    </xf>
    <xf numFmtId="0" fontId="16" fillId="0" borderId="12" xfId="0" applyFont="1" applyBorder="1" applyAlignment="1">
      <alignment horizontal="center" wrapText="1"/>
    </xf>
    <xf numFmtId="0" fontId="16" fillId="0" borderId="12" xfId="0" quotePrefix="1" applyFont="1" applyBorder="1" applyAlignment="1">
      <alignment horizontal="center" wrapText="1"/>
    </xf>
    <xf numFmtId="0" fontId="16" fillId="0" borderId="15" xfId="0" quotePrefix="1" applyFont="1" applyBorder="1" applyAlignment="1">
      <alignment horizontal="center"/>
    </xf>
    <xf numFmtId="0" fontId="16" fillId="0" borderId="15" xfId="0" applyFont="1" applyBorder="1" applyAlignment="1">
      <alignment horizontal="center"/>
    </xf>
    <xf numFmtId="0" fontId="16" fillId="0" borderId="12" xfId="0" quotePrefix="1" applyFont="1" applyBorder="1" applyAlignment="1">
      <alignment horizontal="center"/>
    </xf>
    <xf numFmtId="0" fontId="16" fillId="0" borderId="12" xfId="0" applyFont="1" applyBorder="1" applyAlignment="1">
      <alignment horizontal="center"/>
    </xf>
    <xf numFmtId="41" fontId="7" fillId="0" borderId="12" xfId="0" applyNumberFormat="1" applyFont="1" applyBorder="1" applyAlignment="1">
      <alignment horizontal="center" wrapText="1"/>
    </xf>
    <xf numFmtId="41" fontId="5" fillId="0" borderId="12" xfId="0" applyNumberFormat="1" applyFont="1" applyBorder="1" applyAlignment="1">
      <alignment horizontal="center" wrapText="1"/>
    </xf>
    <xf numFmtId="0" fontId="3" fillId="0" borderId="89" xfId="0" applyFont="1" applyBorder="1" applyAlignment="1">
      <alignment horizontal="center" vertical="center" wrapText="1"/>
    </xf>
    <xf numFmtId="0" fontId="7" fillId="0" borderId="11" xfId="0" applyFont="1" applyBorder="1" applyAlignment="1">
      <alignment horizontal="center" vertical="center"/>
    </xf>
    <xf numFmtId="0" fontId="7" fillId="0" borderId="11" xfId="0" quotePrefix="1" applyFont="1" applyBorder="1" applyAlignment="1">
      <alignment horizontal="center" vertical="center"/>
    </xf>
    <xf numFmtId="0" fontId="3" fillId="0" borderId="0" xfId="0" applyFont="1" applyBorder="1" applyAlignment="1">
      <alignment horizontal="center" vertical="center" wrapText="1"/>
    </xf>
    <xf numFmtId="0" fontId="7" fillId="0" borderId="12" xfId="0" applyFont="1" applyBorder="1" applyAlignment="1">
      <alignment horizontal="center" vertical="center"/>
    </xf>
    <xf numFmtId="0" fontId="7" fillId="0" borderId="12" xfId="0" quotePrefix="1" applyFont="1" applyBorder="1" applyAlignment="1">
      <alignment horizontal="center" vertical="center"/>
    </xf>
    <xf numFmtId="0" fontId="3" fillId="0" borderId="12" xfId="0" applyFont="1" applyBorder="1" applyAlignment="1">
      <alignment horizontal="center" vertical="center" wrapText="1"/>
    </xf>
    <xf numFmtId="0" fontId="7" fillId="0" borderId="50" xfId="0" quotePrefix="1" applyFont="1" applyBorder="1" applyAlignment="1">
      <alignment horizontal="center" vertical="center"/>
    </xf>
    <xf numFmtId="0" fontId="16" fillId="0" borderId="5" xfId="2" applyNumberFormat="1" applyFont="1" applyBorder="1" applyAlignment="1">
      <alignment horizontal="center" vertical="center"/>
    </xf>
    <xf numFmtId="43" fontId="16" fillId="0" borderId="5" xfId="1" applyFont="1" applyBorder="1" applyAlignment="1">
      <alignment horizontal="center" vertical="center"/>
    </xf>
    <xf numFmtId="165" fontId="16" fillId="0" borderId="5" xfId="2" applyNumberFormat="1" applyFont="1" applyBorder="1" applyAlignment="1">
      <alignment horizontal="center" vertical="center"/>
    </xf>
    <xf numFmtId="165" fontId="16" fillId="0" borderId="13" xfId="2" applyNumberFormat="1" applyFont="1" applyBorder="1" applyAlignment="1">
      <alignment horizontal="center" vertical="center"/>
    </xf>
    <xf numFmtId="167" fontId="26" fillId="0" borderId="62" xfId="8" applyNumberFormat="1" applyFont="1" applyFill="1" applyBorder="1" applyAlignment="1">
      <alignment horizontal="center" wrapText="1"/>
    </xf>
    <xf numFmtId="167" fontId="25" fillId="0" borderId="62" xfId="8" applyNumberFormat="1" applyFont="1" applyFill="1" applyBorder="1" applyAlignment="1">
      <alignment horizontal="center" wrapText="1"/>
    </xf>
    <xf numFmtId="167" fontId="26" fillId="0" borderId="62" xfId="8" applyNumberFormat="1" applyFont="1" applyBorder="1" applyAlignment="1">
      <alignment horizontal="center" wrapText="1"/>
    </xf>
    <xf numFmtId="167" fontId="26" fillId="0" borderId="62" xfId="8" applyNumberFormat="1" applyFont="1" applyBorder="1" applyAlignment="1">
      <alignment horizontal="center" vertical="center" wrapText="1"/>
    </xf>
    <xf numFmtId="0" fontId="5" fillId="0" borderId="8" xfId="0" applyFont="1" applyBorder="1" applyAlignment="1">
      <alignment horizontal="center" wrapText="1"/>
    </xf>
    <xf numFmtId="0" fontId="5" fillId="3" borderId="8" xfId="0" applyFont="1" applyFill="1" applyBorder="1" applyAlignment="1">
      <alignment horizontal="center" wrapText="1"/>
    </xf>
    <xf numFmtId="0" fontId="2" fillId="0" borderId="0" xfId="0" applyFont="1"/>
    <xf numFmtId="0" fontId="34" fillId="0" borderId="54" xfId="0" applyFont="1" applyBorder="1" applyAlignment="1">
      <alignment vertical="center" wrapText="1"/>
    </xf>
    <xf numFmtId="0" fontId="34" fillId="0" borderId="23" xfId="0" applyFont="1" applyBorder="1" applyAlignment="1">
      <alignment vertical="center" wrapText="1"/>
    </xf>
    <xf numFmtId="0" fontId="34" fillId="0" borderId="53" xfId="0" applyFont="1" applyBorder="1" applyAlignment="1">
      <alignment vertical="center" wrapText="1"/>
    </xf>
    <xf numFmtId="0" fontId="34" fillId="0" borderId="0" xfId="0" applyFont="1" applyBorder="1" applyAlignment="1">
      <alignment vertical="center" wrapText="1"/>
    </xf>
    <xf numFmtId="0" fontId="21" fillId="0" borderId="0" xfId="0" applyFont="1" applyFill="1" applyBorder="1" applyAlignment="1">
      <alignment wrapText="1"/>
    </xf>
    <xf numFmtId="0" fontId="19" fillId="0" borderId="53" xfId="0" applyFont="1" applyBorder="1" applyAlignment="1">
      <alignment wrapText="1"/>
    </xf>
    <xf numFmtId="9" fontId="2" fillId="0" borderId="53" xfId="0" applyNumberFormat="1" applyFont="1" applyBorder="1" applyAlignment="1">
      <alignment wrapText="1"/>
    </xf>
    <xf numFmtId="9" fontId="2" fillId="0" borderId="0" xfId="0" applyNumberFormat="1" applyFont="1" applyBorder="1" applyAlignment="1">
      <alignment wrapText="1"/>
    </xf>
    <xf numFmtId="0" fontId="2" fillId="0" borderId="5" xfId="0" applyFont="1" applyBorder="1" applyAlignment="1">
      <alignment wrapText="1"/>
    </xf>
    <xf numFmtId="0" fontId="2" fillId="3" borderId="0" xfId="0" applyFont="1" applyFill="1" applyBorder="1"/>
    <xf numFmtId="0" fontId="18" fillId="0" borderId="0" xfId="0" applyFont="1" applyBorder="1" applyAlignment="1">
      <alignment horizontal="center" wrapText="1"/>
    </xf>
    <xf numFmtId="0" fontId="18" fillId="3" borderId="0" xfId="0" applyFont="1" applyFill="1" applyBorder="1" applyAlignment="1">
      <alignment horizontal="center" wrapText="1"/>
    </xf>
    <xf numFmtId="0" fontId="2" fillId="0" borderId="1" xfId="0" applyFont="1" applyBorder="1" applyAlignment="1">
      <alignment wrapText="1"/>
    </xf>
    <xf numFmtId="0" fontId="2" fillId="3" borderId="1" xfId="0" applyFont="1" applyFill="1" applyBorder="1" applyAlignment="1">
      <alignment wrapText="1"/>
    </xf>
    <xf numFmtId="0" fontId="18" fillId="0" borderId="8" xfId="0" applyFont="1" applyBorder="1" applyAlignment="1">
      <alignment horizontal="center" wrapText="1"/>
    </xf>
    <xf numFmtId="0" fontId="18" fillId="0" borderId="13" xfId="0" applyFont="1" applyBorder="1" applyAlignment="1">
      <alignment horizontal="center" wrapText="1"/>
    </xf>
    <xf numFmtId="0" fontId="18" fillId="3" borderId="8" xfId="0" applyFont="1" applyFill="1" applyBorder="1" applyAlignment="1">
      <alignment horizontal="center" wrapText="1"/>
    </xf>
    <xf numFmtId="0" fontId="18" fillId="3" borderId="13" xfId="0" applyFont="1" applyFill="1" applyBorder="1" applyAlignment="1">
      <alignment horizontal="center" wrapText="1"/>
    </xf>
    <xf numFmtId="0" fontId="18" fillId="3" borderId="88" xfId="0" applyFont="1" applyFill="1" applyBorder="1" applyAlignment="1">
      <alignment horizontal="center" wrapText="1"/>
    </xf>
    <xf numFmtId="0" fontId="18" fillId="3" borderId="76" xfId="0" applyFont="1" applyFill="1" applyBorder="1" applyAlignment="1">
      <alignment horizontal="center" wrapText="1"/>
    </xf>
    <xf numFmtId="0" fontId="18" fillId="3" borderId="77" xfId="0" applyFont="1" applyFill="1" applyBorder="1" applyAlignment="1">
      <alignment horizontal="center" wrapText="1"/>
    </xf>
    <xf numFmtId="1" fontId="2" fillId="0" borderId="141" xfId="2" applyNumberFormat="1" applyFont="1" applyBorder="1" applyAlignment="1">
      <alignment horizontal="center" vertical="center"/>
    </xf>
    <xf numFmtId="0" fontId="20" fillId="0" borderId="51" xfId="0" quotePrefix="1" applyFont="1" applyBorder="1"/>
    <xf numFmtId="0" fontId="20" fillId="0" borderId="51" xfId="0" applyFont="1" applyBorder="1" applyAlignment="1">
      <alignment horizontal="center"/>
    </xf>
    <xf numFmtId="41" fontId="20" fillId="0" borderId="51" xfId="3" applyFont="1" applyBorder="1"/>
    <xf numFmtId="0" fontId="20" fillId="3" borderId="51" xfId="0" applyFont="1" applyFill="1" applyBorder="1" applyAlignment="1">
      <alignment horizontal="center"/>
    </xf>
    <xf numFmtId="41" fontId="20" fillId="3" borderId="51" xfId="3" applyFont="1" applyFill="1" applyBorder="1"/>
    <xf numFmtId="0" fontId="2" fillId="0" borderId="17" xfId="0" applyFont="1" applyBorder="1"/>
    <xf numFmtId="0" fontId="2" fillId="0" borderId="67" xfId="0" applyFont="1" applyBorder="1" applyAlignment="1">
      <alignment horizontal="center" vertical="center"/>
    </xf>
    <xf numFmtId="167" fontId="2" fillId="0" borderId="13" xfId="0" applyNumberFormat="1" applyFont="1" applyBorder="1"/>
    <xf numFmtId="2" fontId="2" fillId="0" borderId="68" xfId="0" applyNumberFormat="1" applyFont="1" applyBorder="1" applyAlignment="1">
      <alignment horizontal="center" vertical="center"/>
    </xf>
    <xf numFmtId="0" fontId="18" fillId="0" borderId="0" xfId="0" applyFont="1" applyBorder="1" applyAlignment="1"/>
    <xf numFmtId="0" fontId="2" fillId="0" borderId="0" xfId="0" applyFont="1" applyBorder="1" applyAlignment="1">
      <alignment wrapText="1"/>
    </xf>
    <xf numFmtId="0" fontId="2" fillId="0" borderId="53" xfId="0" applyFont="1" applyBorder="1" applyAlignment="1">
      <alignment wrapText="1"/>
    </xf>
    <xf numFmtId="0" fontId="18" fillId="0" borderId="57" xfId="0" applyFont="1" applyBorder="1" applyAlignment="1"/>
    <xf numFmtId="0" fontId="18" fillId="0" borderId="53" xfId="0" applyFont="1" applyBorder="1" applyAlignment="1"/>
    <xf numFmtId="166" fontId="2" fillId="0" borderId="0" xfId="6" applyFont="1" applyBorder="1" applyAlignment="1">
      <alignment horizontal="center" wrapText="1"/>
    </xf>
    <xf numFmtId="166" fontId="2" fillId="0" borderId="0" xfId="6" applyFont="1" applyBorder="1" applyAlignment="1">
      <alignment wrapText="1"/>
    </xf>
    <xf numFmtId="166" fontId="2" fillId="0" borderId="57" xfId="6" applyFont="1" applyBorder="1" applyAlignment="1">
      <alignment wrapText="1"/>
    </xf>
    <xf numFmtId="166" fontId="2" fillId="0" borderId="53" xfId="6" applyFont="1" applyBorder="1" applyAlignment="1">
      <alignment wrapText="1"/>
    </xf>
    <xf numFmtId="166" fontId="2" fillId="0" borderId="57" xfId="6" applyFont="1" applyBorder="1" applyAlignment="1">
      <alignment horizontal="center" wrapText="1"/>
    </xf>
    <xf numFmtId="166" fontId="2" fillId="0" borderId="53" xfId="6" applyFont="1" applyBorder="1" applyAlignment="1">
      <alignment horizontal="center" wrapText="1"/>
    </xf>
    <xf numFmtId="0" fontId="35" fillId="0" borderId="0" xfId="0" applyFont="1" applyBorder="1" applyAlignment="1"/>
    <xf numFmtId="0" fontId="36" fillId="0" borderId="0" xfId="0" applyFont="1" applyBorder="1" applyAlignment="1">
      <alignment horizontal="center"/>
    </xf>
    <xf numFmtId="0" fontId="37" fillId="0" borderId="57" xfId="0" applyFont="1" applyBorder="1" applyAlignment="1"/>
    <xf numFmtId="0" fontId="37" fillId="0" borderId="53" xfId="0" applyFont="1" applyBorder="1" applyAlignment="1"/>
    <xf numFmtId="0" fontId="18" fillId="0" borderId="58" xfId="0" applyFont="1" applyBorder="1" applyAlignment="1"/>
    <xf numFmtId="164" fontId="21" fillId="0" borderId="46" xfId="0" applyNumberFormat="1" applyFont="1" applyBorder="1" applyAlignment="1"/>
    <xf numFmtId="0" fontId="21" fillId="0" borderId="5" xfId="0" applyFont="1" applyBorder="1" applyAlignment="1">
      <alignment horizontal="center"/>
    </xf>
    <xf numFmtId="0" fontId="2" fillId="0" borderId="5" xfId="0" applyFont="1" applyBorder="1" applyAlignment="1">
      <alignment horizontal="left"/>
    </xf>
    <xf numFmtId="20" fontId="2" fillId="0" borderId="5" xfId="0" quotePrefix="1" applyNumberFormat="1" applyFont="1" applyBorder="1"/>
    <xf numFmtId="0" fontId="2" fillId="0" borderId="35" xfId="0" applyFont="1" applyBorder="1"/>
    <xf numFmtId="0" fontId="2" fillId="0" borderId="5" xfId="0" applyFont="1" applyBorder="1"/>
    <xf numFmtId="0" fontId="2" fillId="0" borderId="35" xfId="0" quotePrefix="1" applyFont="1" applyBorder="1"/>
    <xf numFmtId="0" fontId="21" fillId="0" borderId="76" xfId="0" applyFont="1" applyBorder="1" applyAlignment="1">
      <alignment horizontal="center"/>
    </xf>
    <xf numFmtId="0" fontId="2" fillId="0" borderId="5" xfId="0" quotePrefix="1" applyFont="1" applyBorder="1"/>
    <xf numFmtId="164" fontId="21" fillId="0" borderId="137" xfId="0" applyNumberFormat="1" applyFont="1" applyBorder="1" applyAlignment="1"/>
    <xf numFmtId="0" fontId="21" fillId="0" borderId="5" xfId="9" applyFont="1" applyBorder="1" applyAlignment="1">
      <alignment horizontal="center"/>
    </xf>
    <xf numFmtId="0" fontId="21" fillId="0" borderId="13" xfId="9" applyFont="1" applyBorder="1" applyAlignment="1">
      <alignment horizontal="center"/>
    </xf>
    <xf numFmtId="0" fontId="2" fillId="0" borderId="13" xfId="0" applyFont="1" applyBorder="1" applyAlignment="1">
      <alignment horizontal="left"/>
    </xf>
    <xf numFmtId="0" fontId="2" fillId="0" borderId="13" xfId="0" quotePrefix="1" applyFont="1" applyBorder="1"/>
    <xf numFmtId="0" fontId="2" fillId="0" borderId="83" xfId="0" applyFont="1" applyBorder="1"/>
    <xf numFmtId="2" fontId="2" fillId="0" borderId="68" xfId="0" applyNumberFormat="1" applyFont="1" applyBorder="1" applyAlignment="1">
      <alignment horizontal="center"/>
    </xf>
    <xf numFmtId="0" fontId="2" fillId="0" borderId="12" xfId="0" applyFont="1" applyBorder="1"/>
    <xf numFmtId="0" fontId="2" fillId="0" borderId="68" xfId="0" applyFont="1" applyBorder="1" applyAlignment="1">
      <alignment horizontal="center" vertical="center"/>
    </xf>
    <xf numFmtId="167" fontId="2" fillId="0" borderId="12" xfId="0" applyNumberFormat="1" applyFont="1" applyBorder="1"/>
    <xf numFmtId="167" fontId="2" fillId="0" borderId="15" xfId="0" applyNumberFormat="1" applyFont="1" applyBorder="1"/>
    <xf numFmtId="0" fontId="26" fillId="0" borderId="12" xfId="8" applyFont="1" applyBorder="1" applyAlignment="1">
      <alignment readingOrder="1"/>
    </xf>
    <xf numFmtId="0" fontId="26" fillId="0" borderId="50" xfId="8" applyFont="1" applyBorder="1" applyAlignment="1">
      <alignment wrapText="1" readingOrder="1"/>
    </xf>
    <xf numFmtId="0" fontId="25" fillId="0" borderId="12" xfId="8" quotePrefix="1" applyFont="1" applyFill="1" applyBorder="1" applyAlignment="1">
      <alignment horizontal="left" wrapText="1"/>
    </xf>
    <xf numFmtId="0" fontId="25" fillId="0" borderId="50" xfId="8" applyFont="1" applyFill="1" applyBorder="1" applyAlignment="1">
      <alignment horizontal="left" wrapText="1"/>
    </xf>
    <xf numFmtId="49" fontId="25" fillId="0" borderId="12" xfId="8" quotePrefix="1" applyNumberFormat="1" applyFont="1" applyFill="1" applyBorder="1" applyAlignment="1">
      <alignment horizontal="left" wrapText="1"/>
    </xf>
    <xf numFmtId="49" fontId="25" fillId="0" borderId="12" xfId="8" applyNumberFormat="1" applyFont="1" applyFill="1" applyBorder="1" applyAlignment="1">
      <alignment horizontal="left" wrapText="1"/>
    </xf>
    <xf numFmtId="49" fontId="25" fillId="3" borderId="12" xfId="8" applyNumberFormat="1" applyFont="1" applyFill="1" applyBorder="1" applyAlignment="1">
      <alignment horizontal="left" wrapText="1"/>
    </xf>
    <xf numFmtId="0" fontId="26" fillId="0" borderId="50" xfId="8" applyFont="1" applyFill="1" applyBorder="1" applyAlignment="1">
      <alignment wrapText="1" readingOrder="1"/>
    </xf>
    <xf numFmtId="0" fontId="25" fillId="0" borderId="47" xfId="8" applyFont="1" applyFill="1" applyBorder="1" applyAlignment="1">
      <alignment wrapText="1" readingOrder="1"/>
    </xf>
    <xf numFmtId="0" fontId="25" fillId="0" borderId="61" xfId="8" applyFont="1" applyBorder="1" applyAlignment="1">
      <alignment horizontal="center" wrapText="1"/>
    </xf>
    <xf numFmtId="0" fontId="25" fillId="0" borderId="10" xfId="8" quotePrefix="1" applyFont="1" applyBorder="1" applyAlignment="1">
      <alignment horizontal="center" wrapText="1"/>
    </xf>
    <xf numFmtId="0" fontId="25" fillId="0" borderId="12" xfId="8" quotePrefix="1" applyFont="1" applyBorder="1" applyAlignment="1">
      <alignment wrapText="1"/>
    </xf>
    <xf numFmtId="0" fontId="25" fillId="0" borderId="12" xfId="8" applyFont="1" applyBorder="1" applyAlignment="1">
      <alignment horizontal="center" wrapText="1"/>
    </xf>
    <xf numFmtId="0" fontId="25" fillId="0" borderId="10" xfId="8" applyFont="1" applyBorder="1" applyAlignment="1">
      <alignment horizontal="center" wrapText="1"/>
    </xf>
    <xf numFmtId="0" fontId="25" fillId="0" borderId="50" xfId="8" applyFont="1" applyFill="1" applyBorder="1" applyAlignment="1">
      <alignment wrapText="1" readingOrder="1"/>
    </xf>
    <xf numFmtId="0" fontId="25" fillId="0" borderId="10" xfId="8" quotePrefix="1" applyFont="1" applyBorder="1" applyAlignment="1">
      <alignment wrapText="1"/>
    </xf>
    <xf numFmtId="0" fontId="25" fillId="0" borderId="46" xfId="8" quotePrefix="1" applyFont="1" applyBorder="1" applyAlignment="1">
      <alignment horizontal="center" wrapText="1"/>
    </xf>
    <xf numFmtId="0" fontId="25" fillId="0" borderId="61" xfId="8" applyFont="1" applyBorder="1" applyAlignment="1">
      <alignment horizontal="center" vertical="center" wrapText="1"/>
    </xf>
    <xf numFmtId="0" fontId="25" fillId="0" borderId="10" xfId="8" quotePrefix="1" applyFont="1" applyBorder="1" applyAlignment="1">
      <alignment horizontal="center" vertical="center" wrapText="1"/>
    </xf>
    <xf numFmtId="167" fontId="2" fillId="0" borderId="12" xfId="0" applyNumberFormat="1" applyFont="1" applyBorder="1" applyAlignment="1">
      <alignment vertical="center"/>
    </xf>
    <xf numFmtId="0" fontId="2" fillId="0" borderId="5" xfId="0" applyFont="1" applyBorder="1" applyAlignment="1">
      <alignment vertical="center" wrapText="1"/>
    </xf>
    <xf numFmtId="0" fontId="26" fillId="0" borderId="11" xfId="8" applyFont="1" applyBorder="1" applyAlignment="1">
      <alignment wrapText="1"/>
    </xf>
    <xf numFmtId="0" fontId="26" fillId="0" borderId="11" xfId="8" applyFont="1" applyBorder="1" applyAlignment="1">
      <alignment horizontal="center" wrapText="1"/>
    </xf>
    <xf numFmtId="0" fontId="26" fillId="0" borderId="12" xfId="8" applyFont="1" applyBorder="1" applyAlignment="1">
      <alignment horizontal="center" wrapText="1"/>
    </xf>
    <xf numFmtId="0" fontId="26" fillId="0" borderId="50" xfId="8" applyFont="1" applyBorder="1" applyAlignment="1">
      <alignment horizontal="center" wrapText="1"/>
    </xf>
    <xf numFmtId="0" fontId="26" fillId="0" borderId="33" xfId="8" applyFont="1" applyBorder="1" applyAlignment="1">
      <alignment horizontal="center" wrapText="1"/>
    </xf>
    <xf numFmtId="0" fontId="25" fillId="0" borderId="12" xfId="8" quotePrefix="1" applyFont="1" applyBorder="1" applyAlignment="1">
      <alignment horizontal="center" wrapText="1"/>
    </xf>
    <xf numFmtId="0" fontId="25" fillId="0" borderId="46" xfId="8" applyFont="1" applyBorder="1" applyAlignment="1">
      <alignment horizontal="center" wrapText="1"/>
    </xf>
    <xf numFmtId="0" fontId="26" fillId="0" borderId="10" xfId="8" applyFont="1" applyFill="1" applyBorder="1" applyAlignment="1">
      <alignment readingOrder="1"/>
    </xf>
    <xf numFmtId="0" fontId="25" fillId="0" borderId="63" xfId="8" applyFont="1" applyBorder="1" applyAlignment="1">
      <alignment horizontal="center" wrapText="1"/>
    </xf>
    <xf numFmtId="0" fontId="25" fillId="0" borderId="33" xfId="8" quotePrefix="1" applyFont="1" applyBorder="1" applyAlignment="1">
      <alignment horizontal="center" wrapText="1"/>
    </xf>
    <xf numFmtId="0" fontId="25" fillId="0" borderId="33" xfId="8" quotePrefix="1" applyFont="1" applyBorder="1" applyAlignment="1">
      <alignment wrapText="1"/>
    </xf>
    <xf numFmtId="0" fontId="25" fillId="0" borderId="33" xfId="8" applyFont="1" applyBorder="1" applyAlignment="1">
      <alignment horizontal="center" wrapText="1"/>
    </xf>
    <xf numFmtId="0" fontId="25" fillId="3" borderId="12" xfId="8" applyFont="1" applyFill="1" applyBorder="1" applyAlignment="1">
      <alignment horizontal="left" wrapText="1"/>
    </xf>
    <xf numFmtId="167" fontId="25" fillId="0" borderId="11" xfId="11" applyNumberFormat="1" applyFont="1" applyFill="1" applyBorder="1" applyAlignment="1">
      <alignment horizontal="center" vertical="center" wrapText="1"/>
    </xf>
    <xf numFmtId="0" fontId="25" fillId="0" borderId="12" xfId="8" applyFont="1" applyBorder="1" applyAlignment="1">
      <alignment wrapText="1"/>
    </xf>
    <xf numFmtId="0" fontId="26" fillId="0" borderId="12" xfId="8" applyFont="1" applyBorder="1" applyAlignment="1">
      <alignment horizontal="left" wrapText="1"/>
    </xf>
    <xf numFmtId="0" fontId="26" fillId="0" borderId="94" xfId="8" applyFont="1" applyBorder="1"/>
    <xf numFmtId="0" fontId="25" fillId="0" borderId="47" xfId="8" quotePrefix="1" applyFont="1" applyFill="1" applyBorder="1" applyAlignment="1">
      <alignment wrapText="1" readingOrder="1"/>
    </xf>
    <xf numFmtId="0" fontId="25" fillId="0" borderId="11" xfId="11" applyNumberFormat="1" applyFont="1" applyBorder="1" applyAlignment="1">
      <alignment horizontal="center" vertical="center" wrapText="1"/>
    </xf>
    <xf numFmtId="0" fontId="26" fillId="0" borderId="12" xfId="8" applyFont="1" applyFill="1" applyBorder="1" applyAlignment="1">
      <alignment horizontal="left" wrapText="1"/>
    </xf>
    <xf numFmtId="0" fontId="25" fillId="0" borderId="11" xfId="8" applyNumberFormat="1" applyFont="1" applyFill="1" applyBorder="1" applyAlignment="1">
      <alignment horizontal="center" vertical="center" wrapText="1"/>
    </xf>
    <xf numFmtId="0" fontId="25" fillId="3" borderId="11" xfId="8" applyNumberFormat="1" applyFont="1" applyFill="1" applyBorder="1" applyAlignment="1">
      <alignment horizontal="center" vertical="center" wrapText="1"/>
    </xf>
    <xf numFmtId="43" fontId="25" fillId="3" borderId="11" xfId="8" applyNumberFormat="1" applyFont="1" applyFill="1" applyBorder="1" applyAlignment="1">
      <alignment horizontal="center" vertical="center" wrapText="1"/>
    </xf>
    <xf numFmtId="167" fontId="25" fillId="3" borderId="12" xfId="8" applyNumberFormat="1" applyFont="1" applyFill="1" applyBorder="1" applyAlignment="1">
      <alignment horizontal="center" vertical="center" wrapText="1"/>
    </xf>
    <xf numFmtId="0" fontId="2" fillId="0" borderId="0" xfId="0" applyFont="1" applyAlignment="1">
      <alignment vertical="center"/>
    </xf>
    <xf numFmtId="0" fontId="2" fillId="0" borderId="108" xfId="0"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5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1" xfId="0" quotePrefix="1" applyFont="1" applyBorder="1" applyAlignment="1">
      <alignment horizontal="center" vertical="center" wrapText="1"/>
    </xf>
    <xf numFmtId="0" fontId="25" fillId="0" borderId="11" xfId="11" applyNumberFormat="1" applyFont="1" applyFill="1" applyBorder="1" applyAlignment="1">
      <alignment horizontal="center" vertical="center" wrapText="1"/>
    </xf>
    <xf numFmtId="0" fontId="2" fillId="0" borderId="0" xfId="0" applyFont="1" applyBorder="1"/>
    <xf numFmtId="0" fontId="2" fillId="0" borderId="0" xfId="0" applyFont="1" applyBorder="1" applyAlignment="1">
      <alignment horizontal="center"/>
    </xf>
    <xf numFmtId="0" fontId="21" fillId="0" borderId="7" xfId="0" applyFont="1" applyBorder="1" applyAlignment="1">
      <alignment horizontal="left" wrapText="1"/>
    </xf>
    <xf numFmtId="0" fontId="21" fillId="0" borderId="6" xfId="0" applyFont="1" applyBorder="1" applyAlignment="1">
      <alignment wrapText="1"/>
    </xf>
    <xf numFmtId="0" fontId="21" fillId="0" borderId="0" xfId="0" applyFont="1" applyBorder="1" applyAlignment="1">
      <alignment wrapText="1"/>
    </xf>
    <xf numFmtId="0" fontId="19" fillId="0" borderId="5" xfId="0" applyFont="1" applyBorder="1" applyAlignment="1">
      <alignment horizontal="center" wrapText="1"/>
    </xf>
    <xf numFmtId="0" fontId="18" fillId="0" borderId="0" xfId="0" applyFont="1" applyBorder="1" applyAlignment="1">
      <alignment horizontal="center"/>
    </xf>
    <xf numFmtId="0" fontId="18" fillId="0" borderId="88" xfId="0" applyFont="1" applyBorder="1" applyAlignment="1">
      <alignment horizontal="center" wrapText="1"/>
    </xf>
    <xf numFmtId="0" fontId="19" fillId="0" borderId="5" xfId="0" applyFont="1" applyBorder="1" applyAlignment="1">
      <alignment horizontal="center"/>
    </xf>
    <xf numFmtId="0" fontId="26" fillId="3" borderId="50" xfId="8" applyFont="1" applyFill="1" applyBorder="1" applyAlignment="1">
      <alignment vertical="top" wrapText="1"/>
    </xf>
    <xf numFmtId="0" fontId="26" fillId="0" borderId="11" xfId="8" applyNumberFormat="1" applyFont="1" applyBorder="1" applyAlignment="1">
      <alignment horizontal="center" vertical="center" wrapText="1"/>
    </xf>
    <xf numFmtId="0" fontId="25" fillId="0" borderId="12" xfId="8" quotePrefix="1" applyFont="1" applyBorder="1" applyAlignment="1">
      <alignment vertical="center" wrapText="1"/>
    </xf>
    <xf numFmtId="0" fontId="38" fillId="3" borderId="12" xfId="8" applyFont="1" applyFill="1" applyBorder="1" applyAlignment="1">
      <alignment vertical="top" wrapText="1"/>
    </xf>
    <xf numFmtId="0" fontId="26" fillId="0" borderId="52" xfId="8" applyNumberFormat="1" applyFont="1" applyBorder="1" applyAlignment="1">
      <alignment horizontal="center" vertical="center" wrapText="1"/>
    </xf>
    <xf numFmtId="167" fontId="25" fillId="3" borderId="62" xfId="8" applyNumberFormat="1" applyFont="1" applyFill="1" applyBorder="1" applyAlignment="1">
      <alignment horizontal="center" vertical="center" wrapText="1"/>
    </xf>
    <xf numFmtId="167" fontId="25" fillId="3" borderId="62" xfId="8" applyNumberFormat="1" applyFont="1" applyFill="1" applyBorder="1" applyAlignment="1">
      <alignment horizontal="center" wrapText="1"/>
    </xf>
    <xf numFmtId="167" fontId="26" fillId="3" borderId="62" xfId="8" applyNumberFormat="1" applyFont="1" applyFill="1" applyBorder="1" applyAlignment="1">
      <alignment horizontal="center" wrapText="1"/>
    </xf>
    <xf numFmtId="43" fontId="25" fillId="0" borderId="12" xfId="11" quotePrefix="1" applyFont="1" applyFill="1" applyBorder="1" applyAlignment="1">
      <alignment wrapText="1"/>
    </xf>
    <xf numFmtId="49" fontId="26" fillId="3" borderId="12" xfId="8" applyNumberFormat="1" applyFont="1" applyFill="1" applyBorder="1" applyAlignment="1">
      <alignment horizontal="left" wrapText="1"/>
    </xf>
    <xf numFmtId="49" fontId="25" fillId="3" borderId="12" xfId="8" quotePrefix="1" applyNumberFormat="1" applyFont="1" applyFill="1" applyBorder="1" applyAlignment="1">
      <alignment horizontal="left" wrapText="1"/>
    </xf>
    <xf numFmtId="167" fontId="25" fillId="3" borderId="11" xfId="11" applyNumberFormat="1" applyFont="1" applyFill="1" applyBorder="1" applyAlignment="1">
      <alignment horizontal="center" vertical="center" wrapText="1"/>
    </xf>
    <xf numFmtId="167" fontId="25" fillId="3" borderId="68" xfId="11" applyNumberFormat="1" applyFont="1" applyFill="1" applyBorder="1" applyAlignment="1">
      <alignment horizontal="center" vertical="center" wrapText="1"/>
    </xf>
    <xf numFmtId="0" fontId="25" fillId="3" borderId="12" xfId="8" applyNumberFormat="1" applyFont="1" applyFill="1" applyBorder="1" applyAlignment="1">
      <alignment horizontal="center" vertical="center" wrapText="1"/>
    </xf>
    <xf numFmtId="167" fontId="25" fillId="3" borderId="12" xfId="11" applyNumberFormat="1" applyFont="1" applyFill="1" applyBorder="1" applyAlignment="1">
      <alignment horizontal="center" vertical="center" wrapText="1"/>
    </xf>
    <xf numFmtId="167" fontId="25" fillId="3" borderId="62" xfId="11" applyNumberFormat="1" applyFont="1" applyFill="1" applyBorder="1" applyAlignment="1">
      <alignment horizontal="center" vertical="center" wrapText="1"/>
    </xf>
    <xf numFmtId="49" fontId="25" fillId="3" borderId="50" xfId="8" applyNumberFormat="1" applyFont="1" applyFill="1" applyBorder="1" applyAlignment="1">
      <alignment horizontal="left" wrapText="1"/>
    </xf>
    <xf numFmtId="167" fontId="25" fillId="3" borderId="10" xfId="11" applyNumberFormat="1" applyFont="1" applyFill="1" applyBorder="1" applyAlignment="1">
      <alignment horizontal="center" vertical="center" wrapText="1"/>
    </xf>
    <xf numFmtId="167" fontId="25" fillId="3" borderId="70" xfId="11" applyNumberFormat="1" applyFont="1" applyFill="1" applyBorder="1" applyAlignment="1">
      <alignment horizontal="center" vertical="center" wrapText="1"/>
    </xf>
    <xf numFmtId="0" fontId="39" fillId="3" borderId="11" xfId="8" applyNumberFormat="1" applyFont="1" applyFill="1" applyBorder="1" applyAlignment="1">
      <alignment horizontal="center" vertical="center" wrapText="1"/>
    </xf>
    <xf numFmtId="0" fontId="39" fillId="3" borderId="12" xfId="8" applyNumberFormat="1" applyFont="1" applyFill="1" applyBorder="1" applyAlignment="1">
      <alignment horizontal="center" vertical="center" wrapText="1"/>
    </xf>
    <xf numFmtId="167" fontId="39" fillId="3" borderId="10" xfId="11" applyNumberFormat="1" applyFont="1" applyFill="1" applyBorder="1" applyAlignment="1">
      <alignment horizontal="center" vertical="center" wrapText="1"/>
    </xf>
    <xf numFmtId="167" fontId="18" fillId="3" borderId="70" xfId="11" applyNumberFormat="1" applyFont="1" applyFill="1" applyBorder="1" applyAlignment="1">
      <alignment horizontal="center" vertical="center" wrapText="1"/>
    </xf>
    <xf numFmtId="167" fontId="26" fillId="0" borderId="68" xfId="8" applyNumberFormat="1" applyFont="1" applyFill="1" applyBorder="1" applyAlignment="1">
      <alignment horizontal="center" wrapText="1"/>
    </xf>
    <xf numFmtId="167" fontId="25" fillId="0" borderId="68" xfId="8" applyNumberFormat="1" applyFont="1" applyFill="1" applyBorder="1" applyAlignment="1">
      <alignment horizontal="center" wrapText="1"/>
    </xf>
    <xf numFmtId="0" fontId="25" fillId="0" borderId="50" xfId="8" quotePrefix="1" applyFont="1" applyFill="1" applyBorder="1" applyAlignment="1">
      <alignment wrapText="1" readingOrder="1"/>
    </xf>
    <xf numFmtId="0" fontId="25" fillId="0" borderId="12" xfId="8" quotePrefix="1" applyFont="1" applyFill="1" applyBorder="1" applyAlignment="1">
      <alignment readingOrder="1"/>
    </xf>
    <xf numFmtId="0" fontId="26" fillId="0" borderId="12" xfId="8" quotePrefix="1" applyFont="1" applyBorder="1" applyAlignment="1">
      <alignment readingOrder="1"/>
    </xf>
    <xf numFmtId="0" fontId="25" fillId="0" borderId="12" xfId="8" applyFont="1" applyBorder="1"/>
    <xf numFmtId="0" fontId="25" fillId="0" borderId="0" xfId="8" applyFont="1"/>
    <xf numFmtId="167" fontId="25" fillId="0" borderId="68" xfId="11" applyNumberFormat="1" applyFont="1" applyFill="1" applyBorder="1" applyAlignment="1">
      <alignment horizontal="center" vertical="center" wrapText="1"/>
    </xf>
    <xf numFmtId="0" fontId="26" fillId="0" borderId="12" xfId="8" quotePrefix="1" applyFont="1" applyFill="1" applyBorder="1" applyAlignment="1">
      <alignment readingOrder="1"/>
    </xf>
    <xf numFmtId="0" fontId="25" fillId="0" borderId="11" xfId="12" applyNumberFormat="1" applyFont="1" applyBorder="1" applyAlignment="1">
      <alignment horizontal="center" vertical="center" wrapText="1"/>
    </xf>
    <xf numFmtId="167" fontId="25" fillId="0" borderId="11" xfId="11" applyNumberFormat="1" applyFont="1" applyBorder="1" applyAlignment="1">
      <alignment horizontal="center" vertical="center" wrapText="1"/>
    </xf>
    <xf numFmtId="167" fontId="25" fillId="0" borderId="68" xfId="8" applyNumberFormat="1" applyFont="1" applyFill="1" applyBorder="1" applyAlignment="1">
      <alignment horizontal="center" vertical="center" wrapText="1"/>
    </xf>
    <xf numFmtId="0" fontId="25" fillId="0" borderId="12" xfId="8" quotePrefix="1" applyFont="1" applyBorder="1" applyAlignment="1">
      <alignment readingOrder="1"/>
    </xf>
    <xf numFmtId="0" fontId="39" fillId="0" borderId="12" xfId="8" quotePrefix="1" applyFont="1" applyBorder="1" applyAlignment="1">
      <alignment readingOrder="1"/>
    </xf>
    <xf numFmtId="0" fontId="39" fillId="0" borderId="11" xfId="12" applyNumberFormat="1" applyFont="1" applyBorder="1" applyAlignment="1">
      <alignment horizontal="center" vertical="center" wrapText="1"/>
    </xf>
    <xf numFmtId="43" fontId="39" fillId="0" borderId="11" xfId="8" applyNumberFormat="1" applyFont="1" applyBorder="1" applyAlignment="1">
      <alignment horizontal="center" wrapText="1"/>
    </xf>
    <xf numFmtId="167" fontId="39" fillId="0" borderId="12" xfId="8" applyNumberFormat="1" applyFont="1" applyBorder="1" applyAlignment="1">
      <alignment horizontal="center" wrapText="1"/>
    </xf>
    <xf numFmtId="43" fontId="25" fillId="0" borderId="68" xfId="8" applyNumberFormat="1" applyFont="1" applyFill="1" applyBorder="1" applyAlignment="1">
      <alignment horizontal="center" wrapText="1"/>
    </xf>
    <xf numFmtId="167" fontId="25" fillId="0" borderId="176" xfId="8" applyNumberFormat="1" applyFont="1" applyBorder="1" applyAlignment="1">
      <alignment horizontal="center" wrapText="1"/>
    </xf>
    <xf numFmtId="167" fontId="25" fillId="0" borderId="57" xfId="8" applyNumberFormat="1" applyFont="1" applyBorder="1" applyAlignment="1">
      <alignment horizontal="center" wrapText="1"/>
    </xf>
    <xf numFmtId="167" fontId="25" fillId="0" borderId="69" xfId="8" applyNumberFormat="1" applyFont="1" applyBorder="1" applyAlignment="1">
      <alignment horizontal="center" wrapText="1"/>
    </xf>
    <xf numFmtId="0" fontId="5" fillId="0" borderId="89" xfId="0" quotePrefix="1" applyFont="1" applyBorder="1" applyAlignment="1">
      <alignment horizontal="center" vertical="center"/>
    </xf>
    <xf numFmtId="0" fontId="5" fillId="0" borderId="89" xfId="0" applyFont="1" applyBorder="1" applyAlignment="1">
      <alignment vertical="center"/>
    </xf>
    <xf numFmtId="0" fontId="5" fillId="0" borderId="89" xfId="0" applyFont="1" applyFill="1" applyBorder="1" applyAlignment="1">
      <alignment horizontal="center" vertical="center"/>
    </xf>
    <xf numFmtId="0" fontId="3" fillId="0" borderId="89" xfId="0" applyFont="1" applyFill="1" applyBorder="1" applyAlignment="1">
      <alignment horizontal="center" vertical="center"/>
    </xf>
    <xf numFmtId="0" fontId="5" fillId="0" borderId="89" xfId="0" quotePrefix="1" applyFont="1" applyFill="1" applyBorder="1" applyAlignment="1">
      <alignment horizontal="center" vertical="center"/>
    </xf>
    <xf numFmtId="0" fontId="3" fillId="0" borderId="89" xfId="0" applyFont="1" applyFill="1" applyBorder="1" applyAlignment="1">
      <alignment vertical="center"/>
    </xf>
    <xf numFmtId="0" fontId="3" fillId="0" borderId="89" xfId="0" applyFont="1" applyBorder="1" applyAlignment="1">
      <alignment vertical="center" wrapText="1"/>
    </xf>
    <xf numFmtId="0" fontId="3" fillId="0" borderId="89" xfId="0" applyFont="1" applyBorder="1" applyAlignment="1">
      <alignment vertical="center"/>
    </xf>
    <xf numFmtId="0" fontId="4" fillId="0" borderId="0" xfId="0" applyFont="1" applyBorder="1" applyAlignment="1">
      <alignment wrapText="1"/>
    </xf>
    <xf numFmtId="0" fontId="12" fillId="0" borderId="0" xfId="0" applyFont="1" applyBorder="1" applyAlignment="1">
      <alignment horizontal="center" vertical="center" wrapText="1"/>
    </xf>
    <xf numFmtId="0" fontId="3" fillId="0" borderId="5" xfId="0" applyFont="1" applyBorder="1" applyAlignment="1">
      <alignment horizontal="center" wrapText="1"/>
    </xf>
    <xf numFmtId="0" fontId="3" fillId="0" borderId="5" xfId="0" applyFont="1" applyBorder="1" applyAlignment="1">
      <alignment horizontal="center"/>
    </xf>
    <xf numFmtId="0" fontId="5" fillId="0" borderId="0" xfId="0" applyFont="1" applyBorder="1" applyAlignment="1">
      <alignment horizontal="center"/>
    </xf>
    <xf numFmtId="0" fontId="5" fillId="0" borderId="88" xfId="0" applyFont="1" applyBorder="1" applyAlignment="1">
      <alignment horizontal="center" wrapText="1"/>
    </xf>
    <xf numFmtId="0" fontId="4" fillId="0" borderId="7" xfId="0" applyFont="1" applyBorder="1" applyAlignment="1">
      <alignment horizontal="left" wrapText="1"/>
    </xf>
    <xf numFmtId="0" fontId="4" fillId="0" borderId="6" xfId="0" applyFont="1" applyBorder="1" applyAlignment="1">
      <alignment wrapText="1"/>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4" fillId="0" borderId="0" xfId="0" applyFont="1" applyBorder="1" applyAlignment="1">
      <alignment wrapText="1"/>
    </xf>
    <xf numFmtId="0" fontId="7" fillId="0" borderId="0" xfId="0" applyFont="1" applyFill="1" applyBorder="1"/>
    <xf numFmtId="0" fontId="7" fillId="0" borderId="0" xfId="0" applyFont="1"/>
    <xf numFmtId="0" fontId="7" fillId="0" borderId="0" xfId="0" applyFont="1" applyBorder="1"/>
    <xf numFmtId="41" fontId="7" fillId="0" borderId="0" xfId="2" applyFont="1"/>
    <xf numFmtId="0" fontId="7" fillId="0" borderId="0" xfId="0" applyFont="1" applyAlignment="1">
      <alignment vertical="center"/>
    </xf>
    <xf numFmtId="0" fontId="7" fillId="0" borderId="0" xfId="0" applyFont="1" applyAlignment="1">
      <alignment horizontal="left" vertical="center"/>
    </xf>
    <xf numFmtId="0" fontId="7" fillId="0" borderId="0" xfId="0" applyFont="1" applyBorder="1" applyAlignment="1">
      <alignment vertical="center"/>
    </xf>
    <xf numFmtId="0" fontId="5" fillId="0" borderId="0" xfId="0" applyFont="1" applyAlignment="1">
      <alignment horizontal="centerContinuous" vertical="center"/>
    </xf>
    <xf numFmtId="0" fontId="46" fillId="0" borderId="0" xfId="0" applyFont="1" applyAlignment="1">
      <alignment vertical="center"/>
    </xf>
    <xf numFmtId="0" fontId="5" fillId="0" borderId="0" xfId="0" applyFont="1" applyAlignment="1">
      <alignment horizontal="left" vertical="center"/>
    </xf>
    <xf numFmtId="0" fontId="5" fillId="0" borderId="21" xfId="0" applyFont="1" applyBorder="1" applyAlignment="1">
      <alignment horizontal="center" vertical="center"/>
    </xf>
    <xf numFmtId="0" fontId="5" fillId="0" borderId="19" xfId="0" applyFont="1" applyBorder="1" applyAlignment="1">
      <alignment horizontal="centerContinuous" vertical="center"/>
    </xf>
    <xf numFmtId="0" fontId="5" fillId="0" borderId="20" xfId="0" applyFont="1" applyBorder="1" applyAlignment="1">
      <alignment horizontal="centerContinuous" vertical="center"/>
    </xf>
    <xf numFmtId="0" fontId="5" fillId="0" borderId="0" xfId="0" applyFont="1" applyAlignment="1">
      <alignment horizontal="center" vertical="center"/>
    </xf>
    <xf numFmtId="0" fontId="7" fillId="0" borderId="22" xfId="0" applyFont="1" applyBorder="1" applyAlignment="1">
      <alignment vertical="center"/>
    </xf>
    <xf numFmtId="0" fontId="7" fillId="0" borderId="31" xfId="0" applyFont="1" applyBorder="1" applyAlignment="1">
      <alignment vertical="center"/>
    </xf>
    <xf numFmtId="0" fontId="7" fillId="0" borderId="28" xfId="0" applyFont="1" applyBorder="1" applyAlignment="1">
      <alignment horizontal="left" vertical="center"/>
    </xf>
    <xf numFmtId="0" fontId="7" fillId="0" borderId="3"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24" xfId="0" applyFont="1" applyBorder="1" applyAlignment="1">
      <alignment horizontal="left" vertical="center"/>
    </xf>
    <xf numFmtId="0" fontId="7" fillId="0" borderId="1" xfId="0" applyFont="1" applyBorder="1" applyAlignment="1">
      <alignment vertical="center"/>
    </xf>
    <xf numFmtId="0" fontId="7" fillId="0" borderId="25" xfId="0" applyFont="1" applyBorder="1" applyAlignment="1">
      <alignment vertical="center"/>
    </xf>
    <xf numFmtId="0" fontId="16" fillId="0" borderId="22" xfId="0" applyFont="1" applyBorder="1" applyAlignment="1">
      <alignment vertical="center"/>
    </xf>
    <xf numFmtId="0" fontId="7" fillId="0" borderId="0" xfId="0" applyFont="1" applyAlignment="1">
      <alignment vertical="center" wrapText="1"/>
    </xf>
    <xf numFmtId="0" fontId="4" fillId="0" borderId="1" xfId="0" applyFont="1" applyBorder="1" applyAlignment="1">
      <alignment horizontal="center" vertical="center" wrapText="1"/>
    </xf>
    <xf numFmtId="0" fontId="4" fillId="0" borderId="65"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horizontal="center" vertical="center" wrapText="1"/>
    </xf>
    <xf numFmtId="0" fontId="4" fillId="0" borderId="3" xfId="0" applyFont="1" applyBorder="1" applyAlignment="1">
      <alignment horizontal="justify" vertical="center" wrapText="1"/>
    </xf>
    <xf numFmtId="0" fontId="5" fillId="0" borderId="53" xfId="0" applyFont="1" applyBorder="1" applyAlignment="1">
      <alignment horizontal="center" vertical="center"/>
    </xf>
    <xf numFmtId="0" fontId="5" fillId="0" borderId="0" xfId="0" applyFont="1" applyBorder="1" applyAlignment="1">
      <alignment horizontal="center" vertical="center"/>
    </xf>
    <xf numFmtId="0" fontId="5" fillId="0" borderId="144" xfId="0" applyFont="1" applyBorder="1" applyAlignment="1">
      <alignment horizontal="center" vertical="center"/>
    </xf>
    <xf numFmtId="0" fontId="6" fillId="0" borderId="26" xfId="0" applyFont="1" applyBorder="1" applyAlignment="1">
      <alignment vertical="center"/>
    </xf>
    <xf numFmtId="167" fontId="5" fillId="0" borderId="5" xfId="1" applyNumberFormat="1" applyFont="1" applyBorder="1" applyAlignment="1">
      <alignment vertical="center"/>
    </xf>
    <xf numFmtId="167" fontId="7" fillId="0" borderId="5" xfId="1" applyNumberFormat="1" applyFont="1" applyBorder="1" applyAlignment="1">
      <alignment vertical="center"/>
    </xf>
    <xf numFmtId="0" fontId="16" fillId="0" borderId="56" xfId="0" applyFont="1" applyBorder="1" applyAlignment="1">
      <alignment horizontal="center" vertical="center"/>
    </xf>
    <xf numFmtId="0" fontId="16" fillId="0" borderId="2" xfId="0" applyFont="1" applyBorder="1" applyAlignment="1">
      <alignment horizontal="center" vertical="center"/>
    </xf>
    <xf numFmtId="0" fontId="16" fillId="0" borderId="137" xfId="0" applyFont="1" applyBorder="1" applyAlignment="1">
      <alignment horizontal="center" vertical="center"/>
    </xf>
    <xf numFmtId="0" fontId="16" fillId="0" borderId="2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37" xfId="0" applyFont="1" applyBorder="1" applyAlignment="1">
      <alignment horizontal="center" vertical="center" wrapText="1"/>
    </xf>
    <xf numFmtId="0" fontId="7" fillId="0" borderId="2" xfId="0" applyFont="1" applyBorder="1" applyAlignment="1">
      <alignment vertical="center"/>
    </xf>
    <xf numFmtId="0" fontId="7" fillId="0" borderId="4" xfId="0" applyFont="1" applyBorder="1" applyAlignment="1">
      <alignment vertical="center"/>
    </xf>
    <xf numFmtId="43" fontId="7" fillId="0" borderId="5" xfId="1" applyFont="1" applyBorder="1" applyAlignment="1">
      <alignment vertical="center"/>
    </xf>
    <xf numFmtId="43" fontId="7" fillId="0" borderId="35" xfId="1" applyFont="1" applyBorder="1" applyAlignment="1">
      <alignment vertical="center"/>
    </xf>
    <xf numFmtId="167" fontId="5" fillId="0" borderId="5" xfId="0" applyNumberFormat="1" applyFont="1" applyBorder="1" applyAlignment="1">
      <alignment vertical="center" wrapText="1"/>
    </xf>
    <xf numFmtId="41" fontId="7" fillId="0" borderId="5" xfId="2" applyFont="1" applyBorder="1" applyAlignment="1">
      <alignment vertical="center"/>
    </xf>
    <xf numFmtId="41" fontId="7" fillId="0" borderId="35" xfId="2" applyFont="1" applyBorder="1" applyAlignment="1">
      <alignment vertical="center"/>
    </xf>
    <xf numFmtId="43" fontId="7" fillId="0" borderId="136" xfId="1" applyFont="1" applyBorder="1" applyAlignment="1">
      <alignment vertical="center"/>
    </xf>
    <xf numFmtId="43" fontId="7" fillId="0" borderId="77" xfId="1" applyFont="1" applyBorder="1" applyAlignment="1">
      <alignment vertical="center"/>
    </xf>
    <xf numFmtId="43" fontId="7" fillId="0" borderId="153" xfId="1" applyFont="1" applyBorder="1" applyAlignment="1">
      <alignment vertical="center"/>
    </xf>
    <xf numFmtId="43" fontId="7" fillId="0" borderId="149" xfId="1" applyFont="1" applyBorder="1" applyAlignment="1">
      <alignment vertical="center"/>
    </xf>
    <xf numFmtId="0" fontId="16" fillId="0" borderId="5" xfId="1" applyNumberFormat="1" applyFont="1" applyBorder="1" applyAlignment="1">
      <alignment horizontal="center" vertical="center"/>
    </xf>
    <xf numFmtId="0" fontId="7" fillId="0" borderId="0" xfId="0" applyFont="1" applyBorder="1" applyAlignment="1">
      <alignment horizontal="center" vertical="center"/>
    </xf>
    <xf numFmtId="0" fontId="7" fillId="0" borderId="57" xfId="0" applyFont="1" applyBorder="1" applyAlignment="1">
      <alignment vertical="center"/>
    </xf>
    <xf numFmtId="0" fontId="5" fillId="0" borderId="0" xfId="0" applyFont="1" applyBorder="1" applyAlignment="1">
      <alignment vertical="center"/>
    </xf>
    <xf numFmtId="0" fontId="5" fillId="0" borderId="5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57" xfId="0" applyFont="1" applyBorder="1" applyAlignment="1">
      <alignment vertical="center"/>
    </xf>
    <xf numFmtId="0" fontId="5" fillId="0" borderId="80" xfId="0" applyFont="1" applyBorder="1" applyAlignment="1">
      <alignment vertical="center"/>
    </xf>
    <xf numFmtId="0" fontId="5" fillId="0" borderId="73" xfId="0" applyFont="1" applyBorder="1" applyAlignment="1">
      <alignment vertical="center"/>
    </xf>
    <xf numFmtId="0" fontId="7" fillId="0" borderId="0" xfId="0" applyFont="1" applyFill="1" applyBorder="1" applyAlignment="1">
      <alignment vertical="center"/>
    </xf>
    <xf numFmtId="0" fontId="40" fillId="0" borderId="0" xfId="0" applyFont="1" applyFill="1" applyBorder="1" applyAlignment="1">
      <alignment vertical="center"/>
    </xf>
    <xf numFmtId="0" fontId="41"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44" fillId="0" borderId="0" xfId="0" applyFont="1" applyFill="1" applyBorder="1" applyAlignment="1">
      <alignment vertical="center"/>
    </xf>
    <xf numFmtId="0" fontId="44" fillId="0" borderId="0" xfId="0" applyFont="1" applyFill="1" applyBorder="1" applyAlignment="1">
      <alignment horizontal="left" vertical="center"/>
    </xf>
    <xf numFmtId="0" fontId="44" fillId="0" borderId="0" xfId="0" applyFont="1" applyFill="1" applyBorder="1" applyAlignment="1">
      <alignment horizontal="right" vertical="center"/>
    </xf>
    <xf numFmtId="0" fontId="7" fillId="0" borderId="1" xfId="0" applyFont="1" applyBorder="1" applyAlignment="1">
      <alignment vertical="center" wrapText="1"/>
    </xf>
    <xf numFmtId="0" fontId="5" fillId="0" borderId="0" xfId="0" applyFont="1" applyBorder="1" applyAlignment="1">
      <alignment horizontal="center" vertical="center" wrapText="1"/>
    </xf>
    <xf numFmtId="0" fontId="4" fillId="0" borderId="7" xfId="0" applyFont="1" applyBorder="1" applyAlignment="1">
      <alignment horizontal="left" wrapText="1"/>
    </xf>
    <xf numFmtId="0" fontId="4" fillId="0" borderId="6" xfId="0" applyFont="1" applyBorder="1" applyAlignment="1">
      <alignment wrapText="1"/>
    </xf>
    <xf numFmtId="0" fontId="5" fillId="0" borderId="88" xfId="0" applyFont="1" applyBorder="1" applyAlignment="1">
      <alignment horizontal="center" wrapText="1"/>
    </xf>
    <xf numFmtId="0" fontId="5" fillId="3" borderId="76" xfId="0" applyFont="1" applyFill="1" applyBorder="1" applyAlignment="1">
      <alignment horizontal="center" vertical="center" wrapText="1"/>
    </xf>
    <xf numFmtId="0" fontId="3" fillId="0" borderId="5"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4" fillId="0" borderId="0" xfId="0" applyFont="1" applyBorder="1" applyAlignment="1">
      <alignment wrapText="1"/>
    </xf>
    <xf numFmtId="0" fontId="7" fillId="3" borderId="0" xfId="0" applyFont="1" applyFill="1" applyBorder="1"/>
    <xf numFmtId="0" fontId="7" fillId="0" borderId="1" xfId="0" applyFont="1" applyBorder="1" applyAlignment="1">
      <alignment wrapText="1"/>
    </xf>
    <xf numFmtId="0" fontId="7" fillId="3" borderId="1" xfId="0" applyFont="1" applyFill="1" applyBorder="1" applyAlignment="1">
      <alignment wrapText="1"/>
    </xf>
    <xf numFmtId="0" fontId="6" fillId="0" borderId="15" xfId="0" applyFont="1" applyBorder="1" applyAlignment="1"/>
    <xf numFmtId="167" fontId="7" fillId="0" borderId="15" xfId="0" applyNumberFormat="1" applyFont="1" applyBorder="1"/>
    <xf numFmtId="1" fontId="7" fillId="0" borderId="141" xfId="2" applyNumberFormat="1" applyFont="1" applyBorder="1" applyAlignment="1">
      <alignment horizontal="center" vertical="center"/>
    </xf>
    <xf numFmtId="0" fontId="6" fillId="0" borderId="12" xfId="0" applyFont="1" applyBorder="1" applyAlignment="1">
      <alignment horizontal="left"/>
    </xf>
    <xf numFmtId="0" fontId="16" fillId="0" borderId="12" xfId="0" applyFont="1" applyBorder="1" applyAlignment="1">
      <alignment horizontal="left"/>
    </xf>
    <xf numFmtId="167" fontId="7" fillId="0" borderId="12" xfId="0" applyNumberFormat="1" applyFont="1" applyBorder="1"/>
    <xf numFmtId="1" fontId="7" fillId="0" borderId="68" xfId="2" applyNumberFormat="1" applyFont="1" applyBorder="1" applyAlignment="1">
      <alignment horizontal="center" vertical="center"/>
    </xf>
    <xf numFmtId="0" fontId="6" fillId="0" borderId="12" xfId="0" applyFont="1" applyBorder="1" applyAlignment="1"/>
    <xf numFmtId="0" fontId="16" fillId="0" borderId="12" xfId="0" applyFont="1" applyBorder="1" applyAlignment="1"/>
    <xf numFmtId="0" fontId="47" fillId="0" borderId="12" xfId="0" applyFont="1" applyBorder="1" applyAlignment="1">
      <alignment horizontal="center"/>
    </xf>
    <xf numFmtId="0" fontId="47" fillId="0" borderId="12" xfId="0" applyFont="1" applyBorder="1" applyAlignment="1">
      <alignment horizontal="left"/>
    </xf>
    <xf numFmtId="167" fontId="5" fillId="0" borderId="12" xfId="7" applyNumberFormat="1" applyFont="1" applyBorder="1" applyAlignment="1" applyProtection="1">
      <alignment wrapText="1"/>
    </xf>
    <xf numFmtId="0" fontId="16" fillId="0" borderId="12" xfId="10" quotePrefix="1" applyFont="1" applyFill="1" applyBorder="1"/>
    <xf numFmtId="167" fontId="5" fillId="0" borderId="8" xfId="0" applyNumberFormat="1" applyFont="1" applyBorder="1" applyAlignment="1">
      <alignment horizontal="center" vertical="center"/>
    </xf>
    <xf numFmtId="167" fontId="5" fillId="3" borderId="88" xfId="0" applyNumberFormat="1" applyFont="1" applyFill="1" applyBorder="1" applyAlignment="1">
      <alignment horizontal="center" vertical="center"/>
    </xf>
    <xf numFmtId="167" fontId="7" fillId="0" borderId="13" xfId="0" applyNumberFormat="1" applyFont="1" applyBorder="1"/>
    <xf numFmtId="2" fontId="7" fillId="0" borderId="68" xfId="0" applyNumberFormat="1" applyFont="1" applyBorder="1" applyAlignment="1">
      <alignment horizontal="center" vertical="center"/>
    </xf>
    <xf numFmtId="0" fontId="7" fillId="0" borderId="53" xfId="0" applyFont="1" applyBorder="1" applyAlignment="1"/>
    <xf numFmtId="0" fontId="5" fillId="0" borderId="58" xfId="0" applyFont="1" applyBorder="1" applyAlignment="1"/>
    <xf numFmtId="20" fontId="7" fillId="0" borderId="5" xfId="0" quotePrefix="1" applyNumberFormat="1" applyFont="1" applyBorder="1"/>
    <xf numFmtId="0" fontId="7" fillId="0" borderId="35" xfId="0" applyFont="1" applyBorder="1"/>
    <xf numFmtId="0" fontId="7" fillId="0" borderId="5" xfId="0" applyFont="1" applyBorder="1"/>
    <xf numFmtId="0" fontId="7" fillId="0" borderId="35" xfId="0" quotePrefix="1" applyFont="1" applyBorder="1"/>
    <xf numFmtId="0" fontId="7" fillId="0" borderId="5" xfId="0" quotePrefix="1" applyFont="1" applyBorder="1"/>
    <xf numFmtId="0" fontId="7" fillId="0" borderId="13" xfId="0" quotePrefix="1" applyFont="1" applyBorder="1"/>
    <xf numFmtId="0" fontId="7" fillId="0" borderId="83" xfId="0" applyFont="1" applyBorder="1"/>
    <xf numFmtId="0" fontId="7" fillId="0" borderId="57" xfId="0" applyFont="1" applyBorder="1"/>
    <xf numFmtId="0" fontId="7" fillId="0" borderId="5" xfId="0" applyFont="1" applyBorder="1" applyAlignment="1">
      <alignment vertical="center"/>
    </xf>
    <xf numFmtId="0" fontId="7" fillId="0" borderId="35" xfId="0" applyFont="1" applyBorder="1" applyAlignment="1">
      <alignment vertical="center"/>
    </xf>
    <xf numFmtId="41" fontId="5" fillId="0" borderId="0" xfId="2" applyFont="1"/>
    <xf numFmtId="167" fontId="7" fillId="0" borderId="0" xfId="0" applyNumberFormat="1" applyFont="1" applyAlignment="1">
      <alignment horizontal="right"/>
    </xf>
    <xf numFmtId="41" fontId="7" fillId="0" borderId="0" xfId="0" applyNumberFormat="1" applyFont="1"/>
    <xf numFmtId="167" fontId="7" fillId="0" borderId="0" xfId="0" applyNumberFormat="1" applyFont="1"/>
    <xf numFmtId="167" fontId="7" fillId="0" borderId="0" xfId="1" applyNumberFormat="1" applyFont="1"/>
    <xf numFmtId="167" fontId="5" fillId="2" borderId="1" xfId="1" applyNumberFormat="1" applyFont="1" applyFill="1" applyBorder="1"/>
    <xf numFmtId="167" fontId="7" fillId="2" borderId="0" xfId="0" applyNumberFormat="1" applyFont="1" applyFill="1"/>
    <xf numFmtId="167" fontId="48" fillId="0" borderId="0" xfId="0" applyNumberFormat="1" applyFont="1"/>
    <xf numFmtId="167" fontId="5" fillId="2" borderId="0" xfId="0" applyNumberFormat="1" applyFont="1" applyFill="1"/>
    <xf numFmtId="43" fontId="7" fillId="0" borderId="0" xfId="0" applyNumberFormat="1" applyFont="1"/>
    <xf numFmtId="41" fontId="7" fillId="0" borderId="0" xfId="0" applyNumberFormat="1" applyFont="1" applyBorder="1"/>
    <xf numFmtId="167" fontId="7" fillId="0" borderId="1" xfId="1" applyNumberFormat="1" applyFont="1" applyBorder="1"/>
    <xf numFmtId="43" fontId="7" fillId="0" borderId="0" xfId="1" applyFont="1"/>
    <xf numFmtId="0" fontId="7" fillId="0" borderId="116" xfId="0" applyFont="1" applyBorder="1" applyAlignment="1">
      <alignment vertical="center"/>
    </xf>
    <xf numFmtId="0" fontId="7" fillId="0" borderId="53" xfId="0" applyFont="1" applyBorder="1" applyAlignment="1">
      <alignment vertical="center"/>
    </xf>
    <xf numFmtId="0" fontId="7" fillId="0" borderId="79"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wrapText="1"/>
    </xf>
    <xf numFmtId="0" fontId="7" fillId="0" borderId="80" xfId="0" applyFont="1" applyBorder="1" applyAlignment="1">
      <alignment vertical="center"/>
    </xf>
    <xf numFmtId="0" fontId="7" fillId="0" borderId="180" xfId="0" applyFont="1" applyBorder="1" applyAlignment="1">
      <alignment vertical="center"/>
    </xf>
    <xf numFmtId="167" fontId="5" fillId="0" borderId="12" xfId="0" applyNumberFormat="1" applyFont="1" applyBorder="1" applyAlignment="1">
      <alignment wrapText="1"/>
    </xf>
    <xf numFmtId="0" fontId="7" fillId="0" borderId="12" xfId="0" applyFont="1" applyBorder="1" applyAlignment="1">
      <alignment horizontal="center" wrapText="1"/>
    </xf>
    <xf numFmtId="0" fontId="7" fillId="0" borderId="12" xfId="0" applyFont="1" applyBorder="1" applyAlignment="1">
      <alignment horizontal="center" vertical="center" wrapText="1"/>
    </xf>
    <xf numFmtId="167" fontId="7" fillId="0" borderId="12" xfId="1" applyNumberFormat="1" applyFont="1" applyFill="1" applyBorder="1" applyAlignment="1">
      <alignment vertical="center"/>
    </xf>
    <xf numFmtId="167" fontId="7" fillId="0" borderId="12" xfId="1" applyNumberFormat="1" applyFont="1" applyBorder="1" applyAlignment="1">
      <alignment horizontal="center" wrapText="1"/>
    </xf>
    <xf numFmtId="167" fontId="7" fillId="0" borderId="12" xfId="0" applyNumberFormat="1" applyFont="1" applyBorder="1" applyAlignment="1">
      <alignment horizontal="center" wrapText="1"/>
    </xf>
    <xf numFmtId="0" fontId="5" fillId="0" borderId="12" xfId="0" applyFont="1" applyBorder="1" applyAlignment="1"/>
    <xf numFmtId="0" fontId="5" fillId="0" borderId="12" xfId="0" applyFont="1" applyBorder="1" applyAlignment="1">
      <alignment horizontal="center" vertical="center"/>
    </xf>
    <xf numFmtId="0" fontId="5" fillId="0" borderId="15" xfId="0" applyFont="1" applyBorder="1" applyAlignment="1"/>
    <xf numFmtId="167" fontId="5" fillId="0" borderId="15" xfId="0" applyNumberFormat="1" applyFont="1" applyBorder="1" applyAlignment="1">
      <alignment wrapText="1"/>
    </xf>
    <xf numFmtId="0" fontId="5" fillId="0" borderId="12" xfId="0" applyFont="1" applyBorder="1" applyAlignment="1">
      <alignment horizontal="left"/>
    </xf>
    <xf numFmtId="0" fontId="7" fillId="0" borderId="12" xfId="0" applyFont="1" applyBorder="1" applyAlignment="1">
      <alignment horizontal="left"/>
    </xf>
    <xf numFmtId="167" fontId="7" fillId="0" borderId="12" xfId="0" applyNumberFormat="1" applyFont="1" applyBorder="1" applyAlignment="1">
      <alignment wrapText="1"/>
    </xf>
    <xf numFmtId="0" fontId="7" fillId="0" borderId="12" xfId="0" applyFont="1" applyBorder="1" applyAlignment="1"/>
    <xf numFmtId="0" fontId="7" fillId="0" borderId="61" xfId="0" applyFont="1" applyBorder="1" applyAlignment="1">
      <alignment horizontal="center" wrapText="1"/>
    </xf>
    <xf numFmtId="0" fontId="7" fillId="0" borderId="10" xfId="0" quotePrefix="1" applyFont="1" applyBorder="1" applyAlignment="1">
      <alignment horizont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5" fillId="0" borderId="12" xfId="0" applyFont="1" applyBorder="1" applyAlignment="1">
      <alignment horizontal="left"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7" fillId="0" borderId="11" xfId="0" quotePrefix="1" applyFont="1" applyBorder="1" applyAlignment="1">
      <alignment horizontal="center" wrapText="1"/>
    </xf>
    <xf numFmtId="0" fontId="49" fillId="0" borderId="12" xfId="0" applyFont="1" applyBorder="1" applyAlignment="1">
      <alignment readingOrder="1"/>
    </xf>
    <xf numFmtId="0" fontId="5" fillId="0" borderId="11" xfId="0" applyNumberFormat="1" applyFont="1" applyBorder="1" applyAlignment="1">
      <alignment horizontal="center" vertical="center" wrapText="1"/>
    </xf>
    <xf numFmtId="0" fontId="7" fillId="0" borderId="12" xfId="0" quotePrefix="1" applyFont="1" applyBorder="1" applyAlignment="1">
      <alignment horizontal="center" wrapText="1"/>
    </xf>
    <xf numFmtId="0" fontId="5" fillId="0" borderId="12" xfId="0" applyFont="1" applyFill="1" applyBorder="1" applyAlignment="1">
      <alignment horizontal="left" wrapText="1"/>
    </xf>
    <xf numFmtId="0" fontId="7" fillId="0" borderId="11" xfId="1" applyNumberFormat="1" applyFont="1" applyBorder="1" applyAlignment="1">
      <alignment horizontal="center" vertical="center" wrapText="1"/>
    </xf>
    <xf numFmtId="43" fontId="7" fillId="0" borderId="11" xfId="0" applyNumberFormat="1" applyFont="1" applyBorder="1" applyAlignment="1">
      <alignment horizontal="center" wrapText="1"/>
    </xf>
    <xf numFmtId="43" fontId="7" fillId="0" borderId="12" xfId="0" applyNumberFormat="1" applyFont="1" applyBorder="1" applyAlignment="1">
      <alignment horizontal="center" wrapText="1"/>
    </xf>
    <xf numFmtId="0" fontId="7" fillId="0" borderId="12" xfId="0" applyFont="1" applyBorder="1" applyAlignment="1">
      <alignment readingOrder="1"/>
    </xf>
    <xf numFmtId="0" fontId="7" fillId="0" borderId="12" xfId="0" quotePrefix="1" applyFont="1" applyBorder="1" applyAlignment="1">
      <alignment readingOrder="1"/>
    </xf>
    <xf numFmtId="0" fontId="7" fillId="0" borderId="11" xfId="0" applyNumberFormat="1" applyFont="1" applyBorder="1" applyAlignment="1">
      <alignment horizontal="center" vertical="center" wrapText="1"/>
    </xf>
    <xf numFmtId="0" fontId="7" fillId="0" borderId="12" xfId="0" quotePrefix="1" applyFont="1" applyBorder="1" applyAlignment="1">
      <alignment wrapText="1" readingOrder="1"/>
    </xf>
    <xf numFmtId="167" fontId="7" fillId="0" borderId="12" xfId="0" applyNumberFormat="1" applyFont="1" applyFill="1" applyBorder="1" applyAlignment="1">
      <alignment horizontal="center" wrapText="1"/>
    </xf>
    <xf numFmtId="0" fontId="7" fillId="0" borderId="33" xfId="0" quotePrefix="1" applyFont="1" applyBorder="1" applyAlignment="1">
      <alignment horizontal="center" wrapText="1"/>
    </xf>
    <xf numFmtId="0" fontId="7" fillId="0" borderId="50" xfId="0" applyFont="1" applyBorder="1" applyAlignment="1">
      <alignment readingOrder="1"/>
    </xf>
    <xf numFmtId="43" fontId="7" fillId="0" borderId="52" xfId="0" applyNumberFormat="1" applyFont="1" applyBorder="1" applyAlignment="1">
      <alignment horizontal="center" wrapText="1"/>
    </xf>
    <xf numFmtId="167" fontId="7" fillId="0" borderId="50" xfId="0" applyNumberFormat="1" applyFont="1" applyBorder="1" applyAlignment="1">
      <alignment horizontal="center" wrapText="1"/>
    </xf>
    <xf numFmtId="0" fontId="7" fillId="0" borderId="63" xfId="0" applyFont="1" applyBorder="1" applyAlignment="1">
      <alignment horizontal="center" wrapText="1"/>
    </xf>
    <xf numFmtId="0" fontId="7" fillId="0" borderId="52" xfId="0" quotePrefix="1" applyFont="1" applyBorder="1" applyAlignment="1">
      <alignment horizontal="center" wrapText="1"/>
    </xf>
    <xf numFmtId="0" fontId="7" fillId="0" borderId="50" xfId="0" quotePrefix="1" applyFont="1" applyBorder="1" applyAlignment="1">
      <alignment horizontal="center" wrapText="1"/>
    </xf>
    <xf numFmtId="0" fontId="7" fillId="0" borderId="33" xfId="0" applyFont="1" applyBorder="1" applyAlignment="1">
      <alignment horizontal="center" wrapText="1"/>
    </xf>
    <xf numFmtId="0" fontId="7" fillId="0" borderId="102" xfId="0" quotePrefix="1" applyFont="1" applyBorder="1"/>
    <xf numFmtId="0" fontId="7" fillId="0" borderId="48" xfId="0" applyNumberFormat="1" applyFont="1" applyBorder="1" applyAlignment="1">
      <alignment horizontal="center" vertical="center" wrapText="1"/>
    </xf>
    <xf numFmtId="41" fontId="7" fillId="0" borderId="102" xfId="12" applyFont="1" applyBorder="1" applyAlignment="1">
      <alignment horizontal="center"/>
    </xf>
    <xf numFmtId="41" fontId="7" fillId="0" borderId="102" xfId="12" applyFont="1" applyBorder="1"/>
    <xf numFmtId="0" fontId="7" fillId="0" borderId="12" xfId="0" applyFont="1" applyBorder="1" applyAlignment="1">
      <alignment horizontal="left" wrapText="1"/>
    </xf>
    <xf numFmtId="0" fontId="4" fillId="0" borderId="0" xfId="0" applyFont="1" applyFill="1" applyBorder="1" applyAlignment="1">
      <alignment wrapText="1"/>
    </xf>
    <xf numFmtId="0" fontId="3" fillId="0" borderId="53" xfId="0" applyFont="1" applyBorder="1" applyAlignment="1">
      <alignment wrapText="1"/>
    </xf>
    <xf numFmtId="0" fontId="7" fillId="0" borderId="2" xfId="0" applyFont="1" applyBorder="1" applyAlignment="1">
      <alignment wrapText="1"/>
    </xf>
    <xf numFmtId="9" fontId="7" fillId="0" borderId="53" xfId="0" applyNumberFormat="1" applyFont="1" applyBorder="1" applyAlignment="1">
      <alignment wrapText="1"/>
    </xf>
    <xf numFmtId="9" fontId="7" fillId="0" borderId="0" xfId="0" applyNumberFormat="1" applyFont="1" applyBorder="1" applyAlignment="1">
      <alignment wrapText="1"/>
    </xf>
    <xf numFmtId="0" fontId="7" fillId="0" borderId="5" xfId="0" applyFont="1" applyBorder="1" applyAlignment="1">
      <alignment wrapText="1"/>
    </xf>
    <xf numFmtId="0" fontId="7" fillId="0" borderId="26" xfId="0" applyFont="1" applyBorder="1" applyAlignment="1">
      <alignment wrapText="1"/>
    </xf>
    <xf numFmtId="167" fontId="7" fillId="0" borderId="9" xfId="0" applyNumberFormat="1" applyFont="1" applyBorder="1"/>
    <xf numFmtId="167" fontId="7" fillId="0" borderId="10" xfId="0" applyNumberFormat="1" applyFont="1" applyBorder="1"/>
    <xf numFmtId="167" fontId="7" fillId="3" borderId="10" xfId="0" applyNumberFormat="1" applyFont="1" applyFill="1" applyBorder="1"/>
    <xf numFmtId="1" fontId="7" fillId="3" borderId="68" xfId="2" applyNumberFormat="1" applyFont="1" applyFill="1" applyBorder="1" applyAlignment="1">
      <alignment horizontal="center" vertical="center"/>
    </xf>
    <xf numFmtId="43" fontId="7" fillId="3" borderId="68" xfId="1" applyFont="1" applyFill="1" applyBorder="1" applyAlignment="1">
      <alignment horizontal="center" vertical="center"/>
    </xf>
    <xf numFmtId="0" fontId="7" fillId="3" borderId="108" xfId="0" applyFont="1" applyFill="1" applyBorder="1" applyAlignment="1">
      <alignment horizontal="center" wrapText="1"/>
    </xf>
    <xf numFmtId="0" fontId="7" fillId="3" borderId="46" xfId="0" quotePrefix="1" applyFont="1" applyFill="1" applyBorder="1" applyAlignment="1">
      <alignment horizontal="center" wrapText="1"/>
    </xf>
    <xf numFmtId="0" fontId="7" fillId="3" borderId="51" xfId="0" quotePrefix="1" applyFont="1" applyFill="1" applyBorder="1" applyAlignment="1">
      <alignment wrapText="1"/>
    </xf>
    <xf numFmtId="0" fontId="7" fillId="3" borderId="51" xfId="0" applyFont="1" applyFill="1" applyBorder="1" applyAlignment="1">
      <alignment horizontal="center" wrapText="1"/>
    </xf>
    <xf numFmtId="0" fontId="7" fillId="3" borderId="46" xfId="0" applyFont="1" applyFill="1" applyBorder="1" applyAlignment="1">
      <alignment horizontal="center" wrapText="1"/>
    </xf>
    <xf numFmtId="0" fontId="50" fillId="3" borderId="51" xfId="0" quotePrefix="1" applyFont="1" applyFill="1" applyBorder="1"/>
    <xf numFmtId="0" fontId="50" fillId="3" borderId="51" xfId="0" applyFont="1" applyFill="1" applyBorder="1" applyAlignment="1">
      <alignment horizontal="center"/>
    </xf>
    <xf numFmtId="41" fontId="50" fillId="3" borderId="51" xfId="3" applyFont="1" applyFill="1" applyBorder="1"/>
    <xf numFmtId="167" fontId="7" fillId="3" borderId="0" xfId="0" applyNumberFormat="1" applyFont="1" applyFill="1" applyBorder="1" applyAlignment="1">
      <alignment horizontal="center" wrapText="1"/>
    </xf>
    <xf numFmtId="167" fontId="7" fillId="3" borderId="16" xfId="0" applyNumberFormat="1" applyFont="1" applyFill="1" applyBorder="1" applyAlignment="1">
      <alignment horizontal="center" wrapText="1"/>
    </xf>
    <xf numFmtId="0" fontId="7" fillId="3" borderId="17" xfId="0" applyFont="1" applyFill="1" applyBorder="1"/>
    <xf numFmtId="0" fontId="7" fillId="3" borderId="67" xfId="0" applyFont="1" applyFill="1" applyBorder="1" applyAlignment="1">
      <alignment horizontal="center" vertical="center"/>
    </xf>
    <xf numFmtId="2" fontId="7" fillId="3" borderId="68" xfId="0" applyNumberFormat="1" applyFont="1" applyFill="1" applyBorder="1" applyAlignment="1">
      <alignment horizontal="center" vertical="center"/>
    </xf>
    <xf numFmtId="41" fontId="5" fillId="0" borderId="43" xfId="2" applyNumberFormat="1" applyFont="1" applyBorder="1" applyAlignment="1">
      <alignment horizontal="center" wrapText="1"/>
    </xf>
    <xf numFmtId="41" fontId="5" fillId="0" borderId="43" xfId="0" applyNumberFormat="1" applyFont="1" applyBorder="1" applyAlignment="1">
      <alignment horizontal="center" wrapText="1"/>
    </xf>
    <xf numFmtId="41" fontId="7" fillId="0" borderId="43" xfId="2" applyFont="1" applyBorder="1" applyAlignment="1">
      <alignment horizontal="center" wrapText="1"/>
    </xf>
    <xf numFmtId="167" fontId="5" fillId="0" borderId="43" xfId="0" applyNumberFormat="1" applyFont="1" applyBorder="1" applyAlignment="1">
      <alignment horizontal="center" wrapText="1"/>
    </xf>
    <xf numFmtId="167" fontId="7" fillId="0" borderId="43" xfId="0" applyNumberFormat="1" applyFont="1" applyBorder="1" applyAlignment="1">
      <alignment horizontal="center" wrapText="1"/>
    </xf>
    <xf numFmtId="3" fontId="7" fillId="0" borderId="43" xfId="0" applyNumberFormat="1" applyFont="1" applyBorder="1" applyAlignment="1">
      <alignment horizontal="right" wrapText="1"/>
    </xf>
    <xf numFmtId="3" fontId="7" fillId="0" borderId="101" xfId="0" applyNumberFormat="1" applyFont="1" applyBorder="1" applyAlignment="1">
      <alignment horizontal="right" wrapText="1"/>
    </xf>
    <xf numFmtId="167" fontId="7" fillId="0" borderId="43" xfId="0" applyNumberFormat="1" applyFont="1" applyFill="1" applyBorder="1" applyAlignment="1">
      <alignment horizontal="center" wrapText="1"/>
    </xf>
    <xf numFmtId="41" fontId="7" fillId="0" borderId="43" xfId="0" applyNumberFormat="1"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41" fontId="5" fillId="0" borderId="9" xfId="2" applyNumberFormat="1" applyFont="1" applyBorder="1" applyAlignment="1">
      <alignment horizontal="center" wrapText="1"/>
    </xf>
    <xf numFmtId="41" fontId="5" fillId="0" borderId="10" xfId="0" applyNumberFormat="1" applyFont="1" applyBorder="1" applyAlignment="1">
      <alignment horizontal="center" wrapText="1"/>
    </xf>
    <xf numFmtId="41" fontId="7" fillId="0" borderId="10" xfId="2" applyFont="1" applyBorder="1" applyAlignment="1">
      <alignment horizontal="center" wrapText="1"/>
    </xf>
    <xf numFmtId="167" fontId="5" fillId="0" borderId="10" xfId="0" applyNumberFormat="1" applyFont="1" applyBorder="1" applyAlignment="1">
      <alignment horizontal="center" wrapText="1"/>
    </xf>
    <xf numFmtId="167" fontId="7" fillId="0" borderId="10" xfId="0" applyNumberFormat="1" applyFont="1" applyBorder="1" applyAlignment="1">
      <alignment horizontal="center" wrapText="1"/>
    </xf>
    <xf numFmtId="3" fontId="7" fillId="0" borderId="10" xfId="0" applyNumberFormat="1" applyFont="1" applyBorder="1" applyAlignment="1">
      <alignment horizontal="right" wrapText="1"/>
    </xf>
    <xf numFmtId="3" fontId="7" fillId="0" borderId="33" xfId="0" applyNumberFormat="1" applyFont="1" applyBorder="1" applyAlignment="1">
      <alignment horizontal="right" wrapText="1"/>
    </xf>
    <xf numFmtId="167" fontId="7" fillId="0" borderId="10" xfId="0" applyNumberFormat="1" applyFont="1" applyFill="1" applyBorder="1" applyAlignment="1">
      <alignment horizontal="center" wrapText="1"/>
    </xf>
    <xf numFmtId="41" fontId="7" fillId="0" borderId="10" xfId="0" applyNumberFormat="1" applyFont="1" applyBorder="1" applyAlignment="1">
      <alignment horizontal="center" wrapText="1"/>
    </xf>
    <xf numFmtId="0" fontId="7" fillId="0" borderId="10" xfId="0" quotePrefix="1"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41" fontId="5" fillId="0" borderId="181" xfId="2" applyNumberFormat="1" applyFont="1" applyBorder="1" applyAlignment="1">
      <alignment horizontal="center" wrapText="1"/>
    </xf>
    <xf numFmtId="0" fontId="7" fillId="0" borderId="11" xfId="0" quotePrefix="1" applyFont="1" applyBorder="1" applyAlignment="1">
      <alignment horizontal="center" vertical="center" wrapText="1"/>
    </xf>
    <xf numFmtId="41" fontId="5" fillId="0" borderId="181" xfId="0" applyNumberFormat="1" applyFont="1" applyBorder="1" applyAlignment="1">
      <alignment horizontal="center" wrapText="1"/>
    </xf>
    <xf numFmtId="0" fontId="7" fillId="0" borderId="12" xfId="0" quotePrefix="1" applyFont="1" applyBorder="1" applyAlignment="1">
      <alignment horizontal="center" vertical="center" wrapText="1"/>
    </xf>
    <xf numFmtId="167" fontId="7" fillId="0" borderId="11" xfId="1" applyNumberFormat="1" applyFont="1" applyBorder="1" applyAlignment="1">
      <alignment horizontal="center" wrapText="1"/>
    </xf>
    <xf numFmtId="0" fontId="5" fillId="0" borderId="50" xfId="0" applyFont="1" applyBorder="1" applyAlignment="1">
      <alignment vertical="center" wrapText="1"/>
    </xf>
    <xf numFmtId="41" fontId="5" fillId="0" borderId="182" xfId="0" applyNumberFormat="1" applyFont="1" applyFill="1" applyBorder="1" applyAlignment="1">
      <alignment vertical="center" wrapText="1"/>
    </xf>
    <xf numFmtId="0" fontId="7" fillId="0" borderId="43" xfId="0" quotePrefix="1" applyFont="1" applyBorder="1" applyAlignment="1">
      <alignment horizontal="center" vertical="center" wrapText="1"/>
    </xf>
    <xf numFmtId="0" fontId="51" fillId="0" borderId="183" xfId="0" applyFont="1" applyFill="1" applyBorder="1" applyProtection="1"/>
    <xf numFmtId="49" fontId="51" fillId="0" borderId="184" xfId="0" applyNumberFormat="1" applyFont="1" applyFill="1" applyBorder="1" applyAlignment="1" applyProtection="1">
      <alignment horizontal="center" vertical="center"/>
    </xf>
    <xf numFmtId="169" fontId="51" fillId="0" borderId="184" xfId="0" applyNumberFormat="1" applyFont="1" applyFill="1" applyBorder="1" applyAlignment="1" applyProtection="1">
      <alignment horizontal="center" vertical="center"/>
    </xf>
    <xf numFmtId="3" fontId="51" fillId="0" borderId="185" xfId="0" applyNumberFormat="1" applyFont="1" applyFill="1" applyBorder="1" applyAlignment="1" applyProtection="1">
      <alignment horizontal="right" vertical="center"/>
    </xf>
    <xf numFmtId="41" fontId="7" fillId="0" borderId="181" xfId="0" applyNumberFormat="1" applyFont="1" applyBorder="1" applyAlignment="1">
      <alignment horizontal="center" wrapText="1"/>
    </xf>
    <xf numFmtId="0" fontId="51" fillId="0" borderId="186" xfId="0" applyFont="1" applyFill="1" applyBorder="1" applyProtection="1"/>
    <xf numFmtId="49" fontId="51" fillId="0" borderId="187" xfId="0" applyNumberFormat="1" applyFont="1" applyFill="1" applyBorder="1" applyAlignment="1" applyProtection="1">
      <alignment horizontal="center" vertical="center"/>
    </xf>
    <xf numFmtId="169" fontId="51" fillId="0" borderId="187" xfId="0" applyNumberFormat="1" applyFont="1" applyFill="1" applyBorder="1" applyAlignment="1" applyProtection="1">
      <alignment horizontal="center" vertical="center"/>
    </xf>
    <xf numFmtId="3" fontId="51" fillId="0" borderId="188" xfId="0" applyNumberFormat="1" applyFont="1" applyFill="1" applyBorder="1" applyAlignment="1" applyProtection="1">
      <alignment horizontal="right" vertical="center"/>
    </xf>
    <xf numFmtId="0" fontId="7" fillId="0" borderId="43" xfId="0" applyFont="1" applyBorder="1" applyAlignment="1">
      <alignment horizontal="center" vertical="center" wrapText="1"/>
    </xf>
    <xf numFmtId="41" fontId="7" fillId="0" borderId="181" xfId="0" applyNumberFormat="1" applyFont="1" applyBorder="1" applyAlignment="1">
      <alignment horizontal="center" vertical="top" wrapText="1"/>
    </xf>
    <xf numFmtId="0" fontId="51" fillId="0" borderId="189" xfId="0" applyFont="1" applyFill="1" applyBorder="1" applyProtection="1"/>
    <xf numFmtId="49" fontId="51" fillId="0" borderId="190" xfId="0" applyNumberFormat="1" applyFont="1" applyFill="1" applyBorder="1" applyAlignment="1" applyProtection="1">
      <alignment horizontal="center" vertical="center"/>
    </xf>
    <xf numFmtId="169" fontId="51" fillId="0" borderId="190" xfId="0" applyNumberFormat="1" applyFont="1" applyFill="1" applyBorder="1" applyAlignment="1" applyProtection="1">
      <alignment horizontal="center" vertical="center"/>
    </xf>
    <xf numFmtId="3" fontId="51" fillId="0" borderId="191" xfId="0" applyNumberFormat="1" applyFont="1" applyFill="1" applyBorder="1" applyAlignment="1" applyProtection="1">
      <alignment horizontal="right" vertical="center"/>
    </xf>
    <xf numFmtId="0" fontId="52" fillId="0" borderId="12" xfId="0" applyFont="1" applyBorder="1" applyAlignment="1">
      <alignment readingOrder="1"/>
    </xf>
    <xf numFmtId="41" fontId="7" fillId="0" borderId="11" xfId="2" applyFont="1" applyBorder="1" applyAlignment="1">
      <alignment horizontal="center" wrapText="1"/>
    </xf>
    <xf numFmtId="0" fontId="53" fillId="0" borderId="12" xfId="0" applyFont="1" applyBorder="1" applyAlignment="1">
      <alignment readingOrder="1"/>
    </xf>
    <xf numFmtId="0" fontId="51" fillId="0" borderId="0" xfId="0" applyFont="1"/>
    <xf numFmtId="0" fontId="7" fillId="0" borderId="11" xfId="2" applyNumberFormat="1" applyFont="1" applyBorder="1" applyAlignment="1">
      <alignment horizontal="center" vertical="center" wrapText="1"/>
    </xf>
    <xf numFmtId="0" fontId="50" fillId="0" borderId="51" xfId="0" quotePrefix="1" applyFont="1" applyBorder="1"/>
    <xf numFmtId="0" fontId="50" fillId="0" borderId="51" xfId="0" applyFont="1" applyBorder="1" applyAlignment="1">
      <alignment horizontal="center"/>
    </xf>
    <xf numFmtId="41" fontId="50" fillId="0" borderId="51" xfId="3" applyFont="1" applyBorder="1"/>
    <xf numFmtId="167" fontId="7" fillId="0" borderId="0" xfId="0" applyNumberFormat="1" applyFont="1" applyFill="1" applyBorder="1" applyAlignment="1">
      <alignment horizontal="center" wrapText="1"/>
    </xf>
    <xf numFmtId="0" fontId="7" fillId="0" borderId="17" xfId="0" applyFont="1" applyBorder="1"/>
    <xf numFmtId="0" fontId="7" fillId="0" borderId="67" xfId="0" applyFont="1" applyBorder="1" applyAlignment="1">
      <alignment horizontal="center" vertical="center"/>
    </xf>
    <xf numFmtId="0" fontId="7" fillId="0" borderId="15" xfId="0" applyFont="1" applyBorder="1" applyAlignment="1">
      <alignment horizontal="center" wrapText="1"/>
    </xf>
    <xf numFmtId="0" fontId="54" fillId="0" borderId="11" xfId="11" applyNumberFormat="1" applyFont="1" applyBorder="1" applyAlignment="1">
      <alignment horizontal="center" vertical="center" wrapText="1"/>
    </xf>
    <xf numFmtId="0" fontId="54" fillId="0" borderId="11" xfId="8" applyNumberFormat="1" applyFont="1" applyFill="1" applyBorder="1" applyAlignment="1">
      <alignment horizontal="center" vertical="center" wrapText="1"/>
    </xf>
    <xf numFmtId="0" fontId="54" fillId="3" borderId="11" xfId="8" applyNumberFormat="1" applyFont="1" applyFill="1" applyBorder="1" applyAlignment="1">
      <alignment horizontal="center" vertical="center" wrapText="1"/>
    </xf>
    <xf numFmtId="43" fontId="54" fillId="3" borderId="11" xfId="8" applyNumberFormat="1" applyFont="1" applyFill="1" applyBorder="1" applyAlignment="1">
      <alignment horizontal="center" vertical="center" wrapText="1"/>
    </xf>
    <xf numFmtId="167" fontId="54" fillId="3" borderId="12" xfId="8" applyNumberFormat="1" applyFont="1" applyFill="1" applyBorder="1" applyAlignment="1">
      <alignment horizontal="center" vertical="center" wrapText="1"/>
    </xf>
    <xf numFmtId="0" fontId="58" fillId="0" borderId="12" xfId="0" applyFont="1" applyBorder="1" applyAlignment="1">
      <alignment readingOrder="1"/>
    </xf>
    <xf numFmtId="41" fontId="7" fillId="0" borderId="12" xfId="2" applyFont="1" applyBorder="1" applyAlignment="1">
      <alignment horizontal="center" vertical="center" wrapText="1"/>
    </xf>
    <xf numFmtId="41" fontId="5" fillId="0" borderId="10" xfId="2" applyNumberFormat="1" applyFont="1" applyBorder="1" applyAlignment="1">
      <alignment horizontal="center" wrapText="1"/>
    </xf>
    <xf numFmtId="167" fontId="54" fillId="3" borderId="10" xfId="8" applyNumberFormat="1" applyFont="1" applyFill="1" applyBorder="1" applyAlignment="1">
      <alignment horizontal="center" vertical="center" wrapText="1"/>
    </xf>
    <xf numFmtId="0" fontId="7" fillId="0" borderId="43" xfId="0" quotePrefix="1" applyFont="1" applyBorder="1" applyAlignment="1">
      <alignment horizontal="center" wrapText="1"/>
    </xf>
    <xf numFmtId="0" fontId="51" fillId="0" borderId="167" xfId="0" applyFont="1" applyBorder="1" applyAlignment="1">
      <alignment vertical="center" wrapText="1"/>
    </xf>
    <xf numFmtId="0" fontId="51" fillId="0" borderId="167" xfId="0" applyFont="1" applyBorder="1" applyAlignment="1">
      <alignment horizontal="center" vertical="center" wrapText="1"/>
    </xf>
    <xf numFmtId="3" fontId="51" fillId="0" borderId="167" xfId="0" applyNumberFormat="1" applyFont="1" applyBorder="1" applyAlignment="1">
      <alignment vertical="center" wrapText="1"/>
    </xf>
    <xf numFmtId="0" fontId="51" fillId="0" borderId="168" xfId="0" applyFont="1" applyBorder="1" applyAlignment="1">
      <alignment vertical="center" wrapText="1"/>
    </xf>
    <xf numFmtId="0" fontId="51" fillId="0" borderId="168" xfId="0" applyFont="1" applyBorder="1" applyAlignment="1">
      <alignment horizontal="center" vertical="center" wrapText="1"/>
    </xf>
    <xf numFmtId="3" fontId="51" fillId="0" borderId="168" xfId="0" applyNumberFormat="1" applyFont="1" applyBorder="1" applyAlignment="1">
      <alignment vertical="center" wrapText="1"/>
    </xf>
    <xf numFmtId="0" fontId="7" fillId="0" borderId="43" xfId="0" applyFont="1" applyBorder="1" applyAlignment="1">
      <alignment horizontal="center" wrapText="1"/>
    </xf>
    <xf numFmtId="3" fontId="51" fillId="0" borderId="168" xfId="0" applyNumberFormat="1" applyFont="1" applyBorder="1" applyAlignment="1">
      <alignment horizontal="right" vertical="center" wrapText="1"/>
    </xf>
    <xf numFmtId="0" fontId="7" fillId="0" borderId="61" xfId="0" applyFont="1" applyFill="1" applyBorder="1" applyAlignment="1">
      <alignment horizontal="center" wrapText="1"/>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43" xfId="0" applyFont="1" applyFill="1" applyBorder="1" applyAlignment="1">
      <alignment horizontal="center" wrapText="1"/>
    </xf>
    <xf numFmtId="0" fontId="51" fillId="0" borderId="169" xfId="0" applyFont="1" applyBorder="1" applyAlignment="1">
      <alignment vertical="center" wrapText="1"/>
    </xf>
    <xf numFmtId="0" fontId="51" fillId="0" borderId="169" xfId="0" applyFont="1" applyBorder="1" applyAlignment="1">
      <alignment horizontal="center" vertical="center" wrapText="1"/>
    </xf>
    <xf numFmtId="3" fontId="51" fillId="0" borderId="171" xfId="0" applyNumberFormat="1" applyFont="1" applyBorder="1" applyAlignment="1">
      <alignment horizontal="right" vertical="center" wrapText="1"/>
    </xf>
    <xf numFmtId="0" fontId="51" fillId="0" borderId="170" xfId="0" applyFont="1" applyBorder="1" applyAlignment="1">
      <alignment horizontal="left" vertical="center" wrapText="1"/>
    </xf>
    <xf numFmtId="0" fontId="51" fillId="0" borderId="170" xfId="0" applyFont="1" applyBorder="1" applyAlignment="1">
      <alignment horizontal="center" vertical="center" wrapText="1"/>
    </xf>
    <xf numFmtId="0" fontId="51" fillId="0" borderId="172" xfId="0" applyFont="1" applyBorder="1" applyAlignment="1">
      <alignment horizontal="center" vertical="center" wrapText="1"/>
    </xf>
    <xf numFmtId="0" fontId="7" fillId="0" borderId="63" xfId="0" applyFont="1" applyFill="1" applyBorder="1" applyAlignment="1">
      <alignment horizontal="center" wrapText="1"/>
    </xf>
    <xf numFmtId="0" fontId="7" fillId="0" borderId="50" xfId="0" applyFont="1" applyFill="1" applyBorder="1" applyAlignment="1">
      <alignment horizontal="center" wrapText="1"/>
    </xf>
    <xf numFmtId="0" fontId="7" fillId="0" borderId="52" xfId="0" applyFont="1" applyFill="1" applyBorder="1" applyAlignment="1">
      <alignment horizontal="center" wrapText="1"/>
    </xf>
    <xf numFmtId="0" fontId="7" fillId="0" borderId="33" xfId="0" applyFont="1" applyFill="1" applyBorder="1" applyAlignment="1">
      <alignment horizontal="center" wrapText="1"/>
    </xf>
    <xf numFmtId="0" fontId="7" fillId="0" borderId="101" xfId="0" applyFont="1" applyFill="1" applyBorder="1" applyAlignment="1">
      <alignment horizontal="center" wrapText="1"/>
    </xf>
    <xf numFmtId="0" fontId="51" fillId="0" borderId="192" xfId="0" applyFont="1" applyBorder="1" applyAlignment="1">
      <alignment horizontal="center" vertical="center" wrapText="1"/>
    </xf>
    <xf numFmtId="3" fontId="51" fillId="0" borderId="169" xfId="0" applyNumberFormat="1" applyFont="1" applyBorder="1" applyAlignment="1">
      <alignment horizontal="right" vertical="center" wrapText="1"/>
    </xf>
    <xf numFmtId="0" fontId="51" fillId="0" borderId="193" xfId="0" applyFont="1" applyBorder="1" applyAlignment="1">
      <alignment vertical="center" wrapText="1"/>
    </xf>
    <xf numFmtId="0" fontId="51" fillId="0" borderId="193" xfId="0" applyFont="1" applyBorder="1" applyAlignment="1">
      <alignment horizontal="center" vertical="center" wrapText="1"/>
    </xf>
    <xf numFmtId="41" fontId="7" fillId="0" borderId="10" xfId="0" applyNumberFormat="1" applyFont="1" applyFill="1" applyBorder="1" applyAlignment="1">
      <alignment horizontal="center" wrapText="1"/>
    </xf>
    <xf numFmtId="41" fontId="7" fillId="0" borderId="10" xfId="0" applyNumberFormat="1" applyFont="1" applyFill="1" applyBorder="1" applyAlignment="1">
      <alignment horizontal="center" vertical="center" wrapText="1"/>
    </xf>
    <xf numFmtId="41" fontId="54" fillId="0" borderId="33" xfId="0" applyNumberFormat="1" applyFont="1" applyFill="1" applyBorder="1" applyAlignment="1">
      <alignment horizontal="center" wrapText="1"/>
    </xf>
    <xf numFmtId="2" fontId="7" fillId="0" borderId="68" xfId="0" applyNumberFormat="1" applyFont="1" applyBorder="1" applyAlignment="1">
      <alignment horizontal="center"/>
    </xf>
    <xf numFmtId="167" fontId="7" fillId="0" borderId="33" xfId="0" applyNumberFormat="1" applyFont="1" applyBorder="1"/>
    <xf numFmtId="0" fontId="7" fillId="0" borderId="177" xfId="0" quotePrefix="1" applyFont="1" applyBorder="1" applyAlignment="1">
      <alignment wrapText="1"/>
    </xf>
    <xf numFmtId="0" fontId="7" fillId="0" borderId="177" xfId="0" applyFont="1" applyBorder="1" applyAlignment="1">
      <alignment horizontal="center" wrapText="1"/>
    </xf>
    <xf numFmtId="0" fontId="50" fillId="3" borderId="177" xfId="0" quotePrefix="1" applyFont="1" applyFill="1" applyBorder="1"/>
    <xf numFmtId="0" fontId="50" fillId="0" borderId="177" xfId="0" applyFont="1" applyBorder="1" applyAlignment="1">
      <alignment horizontal="center"/>
    </xf>
    <xf numFmtId="41" fontId="50" fillId="0" borderId="177" xfId="3" applyFont="1" applyBorder="1"/>
    <xf numFmtId="0" fontId="50" fillId="3" borderId="177" xfId="0" applyFont="1" applyFill="1" applyBorder="1" applyAlignment="1">
      <alignment horizontal="center"/>
    </xf>
    <xf numFmtId="41" fontId="50" fillId="3" borderId="177" xfId="3" applyFont="1" applyFill="1" applyBorder="1"/>
    <xf numFmtId="167" fontId="7" fillId="3" borderId="1" xfId="0" applyNumberFormat="1" applyFont="1" applyFill="1" applyBorder="1" applyAlignment="1">
      <alignment horizontal="center" wrapText="1"/>
    </xf>
    <xf numFmtId="0" fontId="7" fillId="0" borderId="139" xfId="0" applyFont="1" applyBorder="1"/>
    <xf numFmtId="0" fontId="7" fillId="0" borderId="6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167" fontId="5" fillId="0" borderId="11" xfId="1" applyNumberFormat="1" applyFont="1" applyBorder="1" applyAlignment="1">
      <alignment horizontal="center" wrapText="1"/>
    </xf>
    <xf numFmtId="43" fontId="5" fillId="0" borderId="11" xfId="0" applyNumberFormat="1" applyFont="1" applyBorder="1" applyAlignment="1">
      <alignment horizontal="center" wrapText="1"/>
    </xf>
    <xf numFmtId="43" fontId="5" fillId="0" borderId="12" xfId="0" applyNumberFormat="1" applyFont="1" applyBorder="1" applyAlignment="1">
      <alignment horizontal="center" wrapText="1"/>
    </xf>
    <xf numFmtId="0" fontId="51" fillId="0" borderId="12" xfId="0" applyFont="1" applyBorder="1" applyAlignment="1">
      <alignment vertical="center" wrapText="1"/>
    </xf>
    <xf numFmtId="0" fontId="51" fillId="0" borderId="194" xfId="0" applyFont="1" applyFill="1" applyBorder="1" applyAlignment="1" applyProtection="1">
      <alignment horizontal="center" vertical="center"/>
    </xf>
    <xf numFmtId="167" fontId="7" fillId="0" borderId="12" xfId="1" applyNumberFormat="1" applyFont="1" applyBorder="1" applyAlignment="1">
      <alignment horizontal="right" wrapText="1"/>
    </xf>
    <xf numFmtId="0" fontId="7" fillId="0" borderId="10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63" xfId="0" applyFont="1" applyBorder="1" applyAlignment="1">
      <alignment horizontal="center" vertical="center" wrapText="1"/>
    </xf>
    <xf numFmtId="0" fontId="7" fillId="0" borderId="177" xfId="0" applyFont="1" applyBorder="1" applyAlignment="1">
      <alignment horizontal="center" vertical="center" wrapText="1"/>
    </xf>
    <xf numFmtId="0" fontId="7" fillId="0" borderId="0" xfId="0" quotePrefix="1" applyFont="1" applyBorder="1" applyAlignment="1">
      <alignment horizontal="center" vertical="center" wrapText="1"/>
    </xf>
    <xf numFmtId="0" fontId="51" fillId="0" borderId="11" xfId="0" applyFont="1" applyBorder="1" applyAlignment="1">
      <alignment vertical="center" wrapText="1"/>
    </xf>
    <xf numFmtId="3" fontId="51" fillId="0" borderId="167" xfId="0" applyNumberFormat="1" applyFont="1" applyBorder="1" applyAlignment="1">
      <alignment horizontal="right" vertical="center" wrapText="1"/>
    </xf>
    <xf numFmtId="0" fontId="7" fillId="0" borderId="64"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7" fillId="0" borderId="43" xfId="0" applyFont="1" applyBorder="1" applyAlignment="1">
      <alignment vertical="center"/>
    </xf>
    <xf numFmtId="0" fontId="7" fillId="0" borderId="41" xfId="0" applyFont="1" applyBorder="1" applyAlignment="1">
      <alignment horizontal="center" vertical="center" wrapText="1"/>
    </xf>
    <xf numFmtId="0" fontId="7" fillId="0" borderId="46" xfId="0" applyFont="1" applyBorder="1" applyAlignment="1">
      <alignment vertical="center"/>
    </xf>
    <xf numFmtId="0" fontId="7" fillId="0" borderId="163" xfId="0" applyFont="1" applyBorder="1" applyAlignment="1">
      <alignment vertical="center"/>
    </xf>
    <xf numFmtId="0" fontId="7" fillId="0" borderId="177" xfId="0" applyFont="1" applyBorder="1" applyAlignment="1">
      <alignment vertical="center"/>
    </xf>
    <xf numFmtId="3" fontId="51" fillId="0" borderId="174" xfId="0" applyNumberFormat="1" applyFont="1" applyBorder="1" applyAlignment="1">
      <alignment horizontal="right" vertical="center" wrapText="1"/>
    </xf>
    <xf numFmtId="0" fontId="51" fillId="0" borderId="12" xfId="0" applyFont="1" applyFill="1" applyBorder="1" applyAlignment="1" applyProtection="1"/>
    <xf numFmtId="0" fontId="51" fillId="0" borderId="195" xfId="0" applyFont="1" applyFill="1" applyBorder="1" applyAlignment="1" applyProtection="1">
      <alignment vertical="center"/>
    </xf>
    <xf numFmtId="0" fontId="7" fillId="0" borderId="45" xfId="0" quotePrefix="1" applyFont="1" applyBorder="1" applyAlignment="1">
      <alignment horizontal="center" vertical="center"/>
    </xf>
    <xf numFmtId="0" fontId="51" fillId="0" borderId="12" xfId="0" applyFont="1" applyBorder="1"/>
    <xf numFmtId="43" fontId="54" fillId="0" borderId="11" xfId="0" applyNumberFormat="1" applyFont="1" applyBorder="1" applyAlignment="1">
      <alignment horizontal="center" wrapText="1"/>
    </xf>
    <xf numFmtId="167" fontId="54" fillId="0" borderId="12" xfId="0" applyNumberFormat="1" applyFont="1" applyBorder="1" applyAlignment="1">
      <alignment horizontal="right" wrapText="1"/>
    </xf>
    <xf numFmtId="41" fontId="5" fillId="0" borderId="9" xfId="2" applyNumberFormat="1" applyFont="1" applyBorder="1" applyAlignment="1">
      <alignment horizontal="right" wrapText="1"/>
    </xf>
    <xf numFmtId="41" fontId="5" fillId="0" borderId="10" xfId="0" applyNumberFormat="1" applyFont="1" applyBorder="1" applyAlignment="1">
      <alignment horizontal="right" wrapText="1"/>
    </xf>
    <xf numFmtId="41" fontId="7" fillId="0" borderId="10" xfId="0" applyNumberFormat="1" applyFont="1" applyBorder="1" applyAlignment="1">
      <alignment horizontal="right" wrapText="1"/>
    </xf>
    <xf numFmtId="41" fontId="7" fillId="0" borderId="10" xfId="2" applyNumberFormat="1" applyFont="1" applyBorder="1" applyAlignment="1">
      <alignment horizontal="right" vertical="center" wrapText="1"/>
    </xf>
    <xf numFmtId="41" fontId="7" fillId="0" borderId="10" xfId="2" applyNumberFormat="1" applyFont="1" applyBorder="1" applyAlignment="1">
      <alignment horizontal="right" wrapText="1"/>
    </xf>
    <xf numFmtId="41" fontId="7" fillId="0" borderId="10" xfId="2" applyFont="1" applyBorder="1" applyAlignment="1">
      <alignment horizontal="right" wrapText="1"/>
    </xf>
    <xf numFmtId="41" fontId="5" fillId="0" borderId="10" xfId="2" applyNumberFormat="1" applyFont="1" applyBorder="1" applyAlignment="1">
      <alignment horizontal="right" wrapText="1"/>
    </xf>
    <xf numFmtId="41" fontId="54" fillId="0" borderId="12" xfId="2" applyNumberFormat="1" applyFont="1" applyBorder="1" applyAlignment="1">
      <alignment horizontal="right" wrapText="1"/>
    </xf>
    <xf numFmtId="167" fontId="7" fillId="0" borderId="46" xfId="0" applyNumberFormat="1" applyFont="1" applyBorder="1"/>
    <xf numFmtId="1" fontId="7" fillId="0" borderId="84" xfId="2" applyNumberFormat="1" applyFont="1" applyBorder="1" applyAlignment="1">
      <alignment horizontal="center" vertical="center"/>
    </xf>
    <xf numFmtId="167" fontId="7" fillId="0" borderId="49" xfId="0" applyNumberFormat="1" applyFont="1" applyBorder="1"/>
    <xf numFmtId="2" fontId="7" fillId="0" borderId="84" xfId="0" applyNumberFormat="1" applyFont="1" applyBorder="1" applyAlignment="1">
      <alignment horizontal="center"/>
    </xf>
    <xf numFmtId="0" fontId="7" fillId="0" borderId="61" xfId="13" applyFont="1" applyBorder="1" applyAlignment="1">
      <alignment horizontal="center" vertical="center" wrapText="1"/>
    </xf>
    <xf numFmtId="0" fontId="7" fillId="0" borderId="10" xfId="13" quotePrefix="1" applyFont="1" applyBorder="1" applyAlignment="1">
      <alignment horizontal="center" vertical="center" wrapText="1"/>
    </xf>
    <xf numFmtId="0" fontId="7" fillId="0" borderId="11" xfId="13" applyFont="1" applyBorder="1" applyAlignment="1">
      <alignment horizontal="center" vertical="center" wrapText="1"/>
    </xf>
    <xf numFmtId="0" fontId="7" fillId="0" borderId="15" xfId="13" applyFont="1" applyBorder="1" applyAlignment="1">
      <alignment horizontal="center" vertical="center" wrapText="1"/>
    </xf>
    <xf numFmtId="0" fontId="7" fillId="0" borderId="10" xfId="13" applyFont="1" applyBorder="1" applyAlignment="1">
      <alignment horizontal="center" vertical="center" wrapText="1"/>
    </xf>
    <xf numFmtId="0" fontId="5" fillId="0" borderId="12" xfId="13" applyFont="1" applyBorder="1" applyAlignment="1">
      <alignment horizontal="left" wrapText="1"/>
    </xf>
    <xf numFmtId="0" fontId="5" fillId="0" borderId="11" xfId="13" applyFont="1" applyBorder="1" applyAlignment="1">
      <alignment horizontal="center" wrapText="1"/>
    </xf>
    <xf numFmtId="0" fontId="5" fillId="0" borderId="12" xfId="13" applyFont="1" applyBorder="1" applyAlignment="1">
      <alignment horizontal="center" wrapText="1"/>
    </xf>
    <xf numFmtId="0" fontId="7" fillId="0" borderId="11" xfId="13" quotePrefix="1" applyFont="1" applyBorder="1" applyAlignment="1">
      <alignment horizontal="center" vertical="center" wrapText="1"/>
    </xf>
    <xf numFmtId="0" fontId="7" fillId="0" borderId="12" xfId="13" applyFont="1" applyBorder="1" applyAlignment="1">
      <alignment horizontal="center" vertical="center" wrapText="1"/>
    </xf>
    <xf numFmtId="0" fontId="49" fillId="0" borderId="12" xfId="13" applyFont="1" applyBorder="1" applyAlignment="1">
      <alignment readingOrder="1"/>
    </xf>
    <xf numFmtId="0" fontId="7" fillId="0" borderId="12" xfId="13" quotePrefix="1" applyFont="1" applyBorder="1" applyAlignment="1">
      <alignment horizontal="center" vertical="center" wrapText="1"/>
    </xf>
    <xf numFmtId="0" fontId="5" fillId="0" borderId="12" xfId="13" applyFont="1" applyFill="1" applyBorder="1" applyAlignment="1">
      <alignment horizontal="left" wrapText="1"/>
    </xf>
    <xf numFmtId="43" fontId="7" fillId="0" borderId="11" xfId="13" applyNumberFormat="1" applyFont="1" applyBorder="1" applyAlignment="1">
      <alignment horizontal="center" wrapText="1"/>
    </xf>
    <xf numFmtId="43" fontId="7" fillId="0" borderId="12" xfId="13" applyNumberFormat="1" applyFont="1" applyBorder="1" applyAlignment="1">
      <alignment horizontal="center" wrapText="1"/>
    </xf>
    <xf numFmtId="0" fontId="58" fillId="0" borderId="12" xfId="13" applyFont="1" applyBorder="1" applyAlignment="1">
      <alignment readingOrder="1"/>
    </xf>
    <xf numFmtId="0" fontId="7" fillId="0" borderId="12" xfId="13" applyFont="1" applyBorder="1" applyAlignment="1">
      <alignment horizontal="left" wrapText="1"/>
    </xf>
    <xf numFmtId="0" fontId="58" fillId="0" borderId="12" xfId="13" quotePrefix="1" applyFont="1" applyBorder="1" applyAlignment="1">
      <alignment readingOrder="1"/>
    </xf>
    <xf numFmtId="167" fontId="7" fillId="0" borderId="12" xfId="13" applyNumberFormat="1" applyFont="1" applyBorder="1" applyAlignment="1">
      <alignment horizontal="center" wrapText="1"/>
    </xf>
    <xf numFmtId="0" fontId="7" fillId="0" borderId="11" xfId="13" applyNumberFormat="1" applyFont="1" applyBorder="1" applyAlignment="1">
      <alignment horizontal="center" vertical="center" wrapText="1"/>
    </xf>
    <xf numFmtId="0" fontId="4" fillId="0" borderId="61" xfId="13" applyFont="1" applyBorder="1" applyAlignment="1">
      <alignment horizontal="center" vertical="center" wrapText="1"/>
    </xf>
    <xf numFmtId="0" fontId="4" fillId="0" borderId="10" xfId="13" applyFont="1" applyBorder="1" applyAlignment="1">
      <alignment horizontal="center" vertical="center" wrapText="1"/>
    </xf>
    <xf numFmtId="0" fontId="4" fillId="0" borderId="11" xfId="13" applyFont="1" applyBorder="1" applyAlignment="1">
      <alignment horizontal="center" vertical="center" wrapText="1"/>
    </xf>
    <xf numFmtId="0" fontId="4" fillId="0" borderId="12" xfId="13" applyFont="1" applyBorder="1" applyAlignment="1">
      <alignment horizontal="center" vertical="center" wrapText="1"/>
    </xf>
    <xf numFmtId="0" fontId="4" fillId="0" borderId="63" xfId="13" applyFont="1" applyBorder="1" applyAlignment="1">
      <alignment horizontal="center" vertical="center" wrapText="1"/>
    </xf>
    <xf numFmtId="0" fontId="4" fillId="0" borderId="33" xfId="13" applyFont="1" applyBorder="1" applyAlignment="1">
      <alignment horizontal="center" vertical="center" wrapText="1"/>
    </xf>
    <xf numFmtId="0" fontId="4" fillId="0" borderId="52" xfId="13" applyFont="1" applyBorder="1" applyAlignment="1">
      <alignment horizontal="center" vertical="center" wrapText="1"/>
    </xf>
    <xf numFmtId="0" fontId="4" fillId="0" borderId="50" xfId="13" applyFont="1" applyBorder="1" applyAlignment="1">
      <alignment horizontal="center" vertical="center" wrapText="1"/>
    </xf>
    <xf numFmtId="0" fontId="7" fillId="0" borderId="12" xfId="13" quotePrefix="1" applyFont="1" applyBorder="1" applyAlignment="1">
      <alignment horizontal="left" wrapText="1"/>
    </xf>
    <xf numFmtId="0" fontId="5" fillId="0" borderId="14" xfId="13" applyFont="1" applyBorder="1" applyAlignment="1">
      <alignment horizontal="center" wrapText="1"/>
    </xf>
    <xf numFmtId="0" fontId="5" fillId="0" borderId="15" xfId="13" applyFont="1" applyBorder="1" applyAlignment="1">
      <alignment horizontal="center" wrapText="1"/>
    </xf>
    <xf numFmtId="41" fontId="5" fillId="0" borderId="10" xfId="13" applyNumberFormat="1" applyFont="1" applyBorder="1" applyAlignment="1">
      <alignment horizontal="center" wrapText="1"/>
    </xf>
    <xf numFmtId="41" fontId="7" fillId="0" borderId="10" xfId="2" applyNumberFormat="1" applyFont="1" applyBorder="1" applyAlignment="1">
      <alignment horizontal="center" wrapText="1"/>
    </xf>
    <xf numFmtId="41" fontId="7" fillId="0" borderId="10" xfId="13" applyNumberFormat="1" applyFont="1" applyBorder="1" applyAlignment="1">
      <alignment horizontal="center" wrapText="1"/>
    </xf>
    <xf numFmtId="0" fontId="7" fillId="0" borderId="2" xfId="0" applyFont="1" applyBorder="1" applyAlignment="1">
      <alignment vertical="center" wrapText="1"/>
    </xf>
    <xf numFmtId="0" fontId="7" fillId="0" borderId="61" xfId="13" applyFont="1" applyBorder="1" applyAlignment="1">
      <alignment horizontal="center" wrapText="1"/>
    </xf>
    <xf numFmtId="0" fontId="7" fillId="0" borderId="10" xfId="13" quotePrefix="1" applyFont="1" applyBorder="1" applyAlignment="1">
      <alignment horizontal="center" wrapText="1"/>
    </xf>
    <xf numFmtId="0" fontId="7" fillId="0" borderId="10" xfId="13" quotePrefix="1" applyFont="1" applyBorder="1" applyAlignment="1">
      <alignment horizontal="center"/>
    </xf>
    <xf numFmtId="0" fontId="7" fillId="0" borderId="11" xfId="13" applyFont="1" applyBorder="1" applyAlignment="1">
      <alignment horizontal="center" wrapText="1"/>
    </xf>
    <xf numFmtId="0" fontId="7" fillId="0" borderId="15" xfId="13" applyFont="1" applyBorder="1" applyAlignment="1">
      <alignment horizontal="center" wrapText="1"/>
    </xf>
    <xf numFmtId="0" fontId="7" fillId="0" borderId="10" xfId="13" applyFont="1" applyBorder="1" applyAlignment="1">
      <alignment horizontal="center" wrapText="1"/>
    </xf>
    <xf numFmtId="0" fontId="7" fillId="0" borderId="11" xfId="13" quotePrefix="1" applyFont="1" applyBorder="1" applyAlignment="1">
      <alignment horizontal="center" wrapText="1"/>
    </xf>
    <xf numFmtId="0" fontId="7" fillId="0" borderId="12" xfId="13" applyFont="1" applyBorder="1" applyAlignment="1">
      <alignment horizontal="center" wrapText="1"/>
    </xf>
    <xf numFmtId="0" fontId="7" fillId="0" borderId="12" xfId="13" quotePrefix="1" applyFont="1" applyBorder="1" applyAlignment="1">
      <alignment horizontal="center" wrapText="1"/>
    </xf>
    <xf numFmtId="0" fontId="51" fillId="0" borderId="0" xfId="13" quotePrefix="1" applyFont="1" applyAlignment="1">
      <alignment wrapText="1"/>
    </xf>
    <xf numFmtId="43" fontId="7" fillId="0" borderId="11" xfId="13" applyNumberFormat="1" applyFont="1" applyBorder="1" applyAlignment="1">
      <alignment horizontal="center" vertical="center" wrapText="1"/>
    </xf>
    <xf numFmtId="167" fontId="7" fillId="0" borderId="12" xfId="13" applyNumberFormat="1" applyFont="1" applyBorder="1" applyAlignment="1">
      <alignment horizontal="center" vertical="center" wrapText="1"/>
    </xf>
    <xf numFmtId="0" fontId="7" fillId="0" borderId="50" xfId="13" applyFont="1" applyBorder="1" applyAlignment="1">
      <alignment horizontal="center" wrapText="1"/>
    </xf>
    <xf numFmtId="0" fontId="51" fillId="0" borderId="12" xfId="13" quotePrefix="1" applyFont="1" applyBorder="1" applyAlignment="1">
      <alignment wrapText="1"/>
    </xf>
    <xf numFmtId="41" fontId="7" fillId="0" borderId="10" xfId="13" applyNumberFormat="1" applyFont="1" applyBorder="1" applyAlignment="1">
      <alignment horizontal="center" vertical="center" wrapText="1"/>
    </xf>
    <xf numFmtId="0" fontId="58" fillId="3" borderId="12" xfId="13" quotePrefix="1" applyFont="1" applyFill="1" applyBorder="1" applyAlignment="1">
      <alignment readingOrder="1"/>
    </xf>
    <xf numFmtId="0" fontId="7" fillId="3" borderId="11" xfId="1" applyNumberFormat="1" applyFont="1" applyFill="1" applyBorder="1" applyAlignment="1">
      <alignment horizontal="center" vertical="center" wrapText="1"/>
    </xf>
    <xf numFmtId="0" fontId="49" fillId="0" borderId="12" xfId="13" applyFont="1" applyBorder="1" applyAlignment="1">
      <alignment wrapText="1" readingOrder="1"/>
    </xf>
    <xf numFmtId="41" fontId="5" fillId="0" borderId="10" xfId="13" applyNumberFormat="1" applyFont="1" applyBorder="1" applyAlignment="1">
      <alignment horizontal="center" vertical="center" wrapText="1"/>
    </xf>
    <xf numFmtId="0" fontId="5" fillId="0" borderId="11" xfId="13" applyFont="1" applyBorder="1" applyAlignment="1">
      <alignment horizontal="center" vertical="center" wrapText="1"/>
    </xf>
    <xf numFmtId="0" fontId="5" fillId="0" borderId="12" xfId="13" applyFont="1" applyBorder="1" applyAlignment="1">
      <alignment horizontal="center" vertical="center" wrapText="1"/>
    </xf>
    <xf numFmtId="167" fontId="7" fillId="0" borderId="10" xfId="0" applyNumberFormat="1" applyFont="1" applyBorder="1" applyAlignment="1">
      <alignment vertical="center"/>
    </xf>
    <xf numFmtId="0" fontId="7" fillId="0" borderId="12" xfId="13" quotePrefix="1" applyFont="1" applyBorder="1" applyAlignment="1">
      <alignment wrapText="1"/>
    </xf>
    <xf numFmtId="0" fontId="5" fillId="0" borderId="12" xfId="13" applyFont="1" applyBorder="1" applyAlignment="1">
      <alignment wrapText="1"/>
    </xf>
    <xf numFmtId="41" fontId="7" fillId="0" borderId="12" xfId="13" applyNumberFormat="1" applyFont="1" applyBorder="1" applyAlignment="1">
      <alignment horizontal="center" vertical="center" wrapText="1"/>
    </xf>
    <xf numFmtId="0" fontId="7" fillId="0" borderId="10" xfId="0" applyFont="1" applyBorder="1"/>
    <xf numFmtId="0" fontId="7" fillId="0" borderId="68" xfId="0" applyFont="1" applyBorder="1" applyAlignment="1">
      <alignment horizontal="center" vertical="center"/>
    </xf>
    <xf numFmtId="0" fontId="7" fillId="3" borderId="68" xfId="0" applyFont="1" applyFill="1" applyBorder="1" applyAlignment="1">
      <alignment horizontal="center" vertical="center"/>
    </xf>
    <xf numFmtId="167" fontId="7" fillId="3" borderId="10" xfId="0" applyNumberFormat="1" applyFont="1" applyFill="1" applyBorder="1" applyAlignment="1">
      <alignment vertical="center"/>
    </xf>
    <xf numFmtId="2" fontId="7" fillId="3" borderId="68" xfId="0" applyNumberFormat="1" applyFont="1" applyFill="1" applyBorder="1" applyAlignment="1">
      <alignment horizontal="center"/>
    </xf>
    <xf numFmtId="0" fontId="7" fillId="3" borderId="87" xfId="0" applyFont="1" applyFill="1" applyBorder="1" applyAlignment="1">
      <alignment horizontal="center" vertical="center"/>
    </xf>
    <xf numFmtId="0" fontId="7" fillId="0" borderId="12" xfId="13" applyFont="1" applyBorder="1" applyAlignment="1">
      <alignment wrapText="1"/>
    </xf>
    <xf numFmtId="0" fontId="6" fillId="0" borderId="10" xfId="13" applyFont="1" applyBorder="1" applyAlignment="1">
      <alignment horizontal="left" wrapText="1" readingOrder="1"/>
    </xf>
    <xf numFmtId="0" fontId="5" fillId="0" borderId="11" xfId="13" applyNumberFormat="1" applyFont="1" applyBorder="1" applyAlignment="1">
      <alignment horizontal="center" vertical="center" wrapText="1"/>
    </xf>
    <xf numFmtId="0" fontId="5" fillId="0" borderId="45" xfId="13" applyNumberFormat="1" applyFont="1" applyBorder="1" applyAlignment="1">
      <alignment horizontal="center" vertical="center" wrapText="1"/>
    </xf>
    <xf numFmtId="0" fontId="58" fillId="0" borderId="47" xfId="13" applyFont="1" applyBorder="1" applyAlignment="1">
      <alignment wrapText="1" readingOrder="1"/>
    </xf>
    <xf numFmtId="0" fontId="5" fillId="0" borderId="10" xfId="13" applyFont="1" applyBorder="1" applyAlignment="1">
      <alignment horizontal="center" wrapText="1"/>
    </xf>
    <xf numFmtId="43" fontId="7" fillId="0" borderId="10" xfId="13" applyNumberFormat="1" applyFont="1" applyBorder="1" applyAlignment="1">
      <alignment horizontal="center" wrapText="1"/>
    </xf>
    <xf numFmtId="43" fontId="57" fillId="0" borderId="12" xfId="13" applyNumberFormat="1" applyFont="1" applyBorder="1" applyAlignment="1">
      <alignment horizontal="center" wrapText="1"/>
    </xf>
    <xf numFmtId="43" fontId="57" fillId="0" borderId="10" xfId="13" applyNumberFormat="1" applyFont="1" applyBorder="1" applyAlignment="1">
      <alignment horizontal="center" wrapText="1"/>
    </xf>
    <xf numFmtId="0" fontId="51" fillId="0" borderId="175" xfId="13" applyFont="1" applyBorder="1" applyAlignment="1">
      <alignment horizontal="center" vertical="center" wrapText="1"/>
    </xf>
    <xf numFmtId="3" fontId="51" fillId="0" borderId="167" xfId="13" applyNumberFormat="1" applyFont="1" applyBorder="1" applyAlignment="1">
      <alignment horizontal="right" vertical="center" wrapText="1"/>
    </xf>
    <xf numFmtId="0" fontId="51" fillId="0" borderId="173" xfId="13" applyFont="1" applyBorder="1" applyAlignment="1">
      <alignment horizontal="center" vertical="center" wrapText="1"/>
    </xf>
    <xf numFmtId="3" fontId="51" fillId="0" borderId="168" xfId="13" applyNumberFormat="1" applyFont="1" applyBorder="1" applyAlignment="1">
      <alignment horizontal="right" vertical="center" wrapText="1"/>
    </xf>
    <xf numFmtId="167" fontId="5" fillId="0" borderId="9" xfId="13" applyNumberFormat="1" applyFont="1" applyBorder="1" applyAlignment="1">
      <alignment horizontal="center" wrapText="1"/>
    </xf>
    <xf numFmtId="167" fontId="5" fillId="0" borderId="10" xfId="13" applyNumberFormat="1" applyFont="1" applyBorder="1" applyAlignment="1">
      <alignment horizontal="center" wrapText="1"/>
    </xf>
    <xf numFmtId="167" fontId="7" fillId="0" borderId="10" xfId="13" applyNumberFormat="1" applyFont="1" applyBorder="1" applyAlignment="1">
      <alignment horizontal="center" wrapText="1"/>
    </xf>
    <xf numFmtId="2" fontId="7" fillId="0" borderId="141" xfId="0" applyNumberFormat="1" applyFont="1" applyBorder="1" applyAlignment="1">
      <alignment horizontal="center"/>
    </xf>
    <xf numFmtId="167" fontId="7" fillId="3" borderId="12" xfId="0" applyNumberFormat="1" applyFont="1" applyFill="1" applyBorder="1"/>
    <xf numFmtId="0" fontId="7" fillId="3" borderId="12" xfId="0" applyFont="1" applyFill="1" applyBorder="1"/>
    <xf numFmtId="0" fontId="50" fillId="3" borderId="17" xfId="0" applyFont="1" applyFill="1" applyBorder="1" applyAlignment="1">
      <alignment horizontal="center"/>
    </xf>
    <xf numFmtId="0" fontId="7" fillId="0" borderId="12" xfId="13" quotePrefix="1" applyFont="1" applyBorder="1" applyAlignment="1">
      <alignment vertical="center" wrapText="1"/>
    </xf>
    <xf numFmtId="0" fontId="5" fillId="0" borderId="44" xfId="13" applyFont="1" applyBorder="1" applyAlignment="1">
      <alignment horizontal="center" vertical="center" wrapText="1"/>
    </xf>
    <xf numFmtId="167" fontId="5" fillId="0" borderId="10" xfId="13" applyNumberFormat="1" applyFont="1" applyBorder="1" applyAlignment="1">
      <alignment horizontal="center" vertical="center" wrapText="1"/>
    </xf>
    <xf numFmtId="43" fontId="7" fillId="0" borderId="12" xfId="13" applyNumberFormat="1" applyFont="1" applyBorder="1" applyAlignment="1">
      <alignment horizontal="center" vertical="center" wrapText="1"/>
    </xf>
    <xf numFmtId="0" fontId="5" fillId="0" borderId="0"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5" fillId="0" borderId="88" xfId="0" applyFont="1" applyBorder="1" applyAlignment="1">
      <alignment horizontal="center" wrapText="1"/>
    </xf>
    <xf numFmtId="0" fontId="4" fillId="0" borderId="7" xfId="0" applyFont="1" applyBorder="1" applyAlignment="1">
      <alignment horizontal="left" wrapText="1"/>
    </xf>
    <xf numFmtId="0" fontId="4" fillId="0" borderId="6" xfId="0" applyFont="1" applyBorder="1" applyAlignment="1">
      <alignment wrapText="1"/>
    </xf>
    <xf numFmtId="0" fontId="4" fillId="0" borderId="0" xfId="0" applyFont="1" applyBorder="1" applyAlignment="1">
      <alignment wrapText="1"/>
    </xf>
    <xf numFmtId="0" fontId="54" fillId="0" borderId="61" xfId="8" applyFont="1" applyBorder="1" applyAlignment="1">
      <alignment horizontal="center" vertical="center" wrapText="1"/>
    </xf>
    <xf numFmtId="0" fontId="54" fillId="0" borderId="12" xfId="8" quotePrefix="1" applyFont="1" applyBorder="1" applyAlignment="1">
      <alignment horizontal="center" vertical="center" wrapText="1"/>
    </xf>
    <xf numFmtId="0" fontId="54" fillId="0" borderId="12" xfId="8" quotePrefix="1" applyFont="1" applyBorder="1" applyAlignment="1">
      <alignment vertical="center" wrapText="1"/>
    </xf>
    <xf numFmtId="0" fontId="54" fillId="0" borderId="12" xfId="11" applyNumberFormat="1" applyFont="1" applyBorder="1" applyAlignment="1">
      <alignment horizontal="center" vertical="center" wrapText="1"/>
    </xf>
    <xf numFmtId="0" fontId="54" fillId="0" borderId="12" xfId="8" applyNumberFormat="1" applyFont="1" applyFill="1" applyBorder="1" applyAlignment="1">
      <alignment horizontal="center" vertical="center" wrapText="1"/>
    </xf>
    <xf numFmtId="0" fontId="54" fillId="3" borderId="12" xfId="8" applyNumberFormat="1" applyFont="1" applyFill="1" applyBorder="1" applyAlignment="1">
      <alignment horizontal="center" vertical="center" wrapText="1"/>
    </xf>
    <xf numFmtId="43" fontId="54" fillId="3" borderId="12" xfId="8" applyNumberFormat="1" applyFont="1" applyFill="1" applyBorder="1" applyAlignment="1">
      <alignment horizontal="center" vertical="center" wrapText="1"/>
    </xf>
    <xf numFmtId="167" fontId="54" fillId="3" borderId="12" xfId="1" applyNumberFormat="1" applyFont="1" applyFill="1" applyBorder="1" applyAlignment="1">
      <alignment horizontal="center" vertical="center" wrapText="1"/>
    </xf>
    <xf numFmtId="0" fontId="60" fillId="3" borderId="12" xfId="8" applyNumberFormat="1" applyFont="1" applyFill="1" applyBorder="1" applyAlignment="1">
      <alignment horizontal="center" vertical="center" wrapText="1"/>
    </xf>
    <xf numFmtId="0" fontId="54" fillId="0" borderId="12" xfId="11" applyNumberFormat="1" applyFont="1" applyFill="1" applyBorder="1" applyAlignment="1">
      <alignment horizontal="center" vertical="center" wrapText="1"/>
    </xf>
    <xf numFmtId="0" fontId="54" fillId="3" borderId="12" xfId="8" applyFont="1" applyFill="1" applyBorder="1" applyAlignment="1">
      <alignment horizontal="center" vertical="center" wrapText="1"/>
    </xf>
    <xf numFmtId="43" fontId="54" fillId="0" borderId="12" xfId="8" applyNumberFormat="1" applyFont="1" applyBorder="1" applyAlignment="1">
      <alignment horizontal="center" vertical="center" wrapText="1"/>
    </xf>
    <xf numFmtId="167" fontId="54" fillId="0" borderId="12" xfId="11" applyNumberFormat="1" applyFont="1" applyFill="1" applyBorder="1" applyAlignment="1">
      <alignment horizontal="center" vertical="center" wrapText="1"/>
    </xf>
    <xf numFmtId="0" fontId="7" fillId="0" borderId="12" xfId="11" applyNumberFormat="1" applyFont="1" applyFill="1" applyBorder="1" applyAlignment="1">
      <alignment horizontal="center" vertical="center" wrapText="1"/>
    </xf>
    <xf numFmtId="0" fontId="7" fillId="0" borderId="5" xfId="0" applyFont="1" applyBorder="1" applyAlignment="1">
      <alignment vertical="center" wrapText="1"/>
    </xf>
    <xf numFmtId="167" fontId="7" fillId="0" borderId="12" xfId="0" applyNumberFormat="1" applyFont="1" applyBorder="1" applyAlignment="1">
      <alignment vertical="center"/>
    </xf>
    <xf numFmtId="0" fontId="7" fillId="0" borderId="103" xfId="0" applyFont="1" applyBorder="1" applyAlignment="1">
      <alignment horizontal="center" vertical="center"/>
    </xf>
    <xf numFmtId="0" fontId="7" fillId="0" borderId="46" xfId="0" quotePrefix="1" applyFont="1" applyBorder="1" applyAlignment="1">
      <alignment horizontal="center" vertical="center" wrapText="1"/>
    </xf>
    <xf numFmtId="0" fontId="7" fillId="0" borderId="51" xfId="0" quotePrefix="1" applyFont="1" applyBorder="1" applyAlignment="1">
      <alignment horizontal="center" vertical="center" wrapText="1"/>
    </xf>
    <xf numFmtId="0" fontId="7" fillId="0" borderId="51"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5" xfId="0" quotePrefix="1" applyFont="1" applyBorder="1" applyAlignment="1">
      <alignment horizontal="center" vertical="center" wrapText="1"/>
    </xf>
    <xf numFmtId="0" fontId="7" fillId="0" borderId="15" xfId="0" applyFont="1" applyBorder="1" applyAlignment="1">
      <alignment vertical="center" wrapText="1"/>
    </xf>
    <xf numFmtId="0" fontId="54" fillId="0" borderId="15" xfId="8" applyFont="1" applyBorder="1" applyAlignment="1">
      <alignment horizontal="center" vertical="center" wrapText="1"/>
    </xf>
    <xf numFmtId="0" fontId="24" fillId="0" borderId="15" xfId="0" applyFont="1" applyBorder="1" applyAlignment="1">
      <alignment horizontal="center" vertical="center" wrapText="1"/>
    </xf>
    <xf numFmtId="0" fontId="5" fillId="0" borderId="50"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2" xfId="0" quotePrefix="1" applyFont="1" applyBorder="1" applyAlignment="1">
      <alignment vertical="center" wrapText="1"/>
    </xf>
    <xf numFmtId="0" fontId="54" fillId="0" borderId="12" xfId="8" applyFont="1" applyBorder="1" applyAlignment="1">
      <alignment horizontal="center" vertical="center" wrapText="1"/>
    </xf>
    <xf numFmtId="0" fontId="24" fillId="0" borderId="12" xfId="0" applyFont="1" applyBorder="1" applyAlignment="1">
      <alignment horizontal="center" vertical="center" wrapText="1"/>
    </xf>
    <xf numFmtId="0" fontId="5" fillId="0" borderId="52" xfId="0" applyNumberFormat="1" applyFont="1" applyBorder="1" applyAlignment="1">
      <alignment horizontal="center" vertical="center" wrapText="1"/>
    </xf>
    <xf numFmtId="0" fontId="54" fillId="3" borderId="11" xfId="11" applyNumberFormat="1" applyFont="1" applyFill="1" applyBorder="1" applyAlignment="1">
      <alignment horizontal="center" vertical="center" wrapText="1"/>
    </xf>
    <xf numFmtId="0" fontId="24" fillId="0" borderId="12" xfId="0" quotePrefix="1" applyFont="1" applyBorder="1" applyAlignment="1">
      <alignment horizontal="center" vertical="center" wrapText="1"/>
    </xf>
    <xf numFmtId="43" fontId="54" fillId="3" borderId="10" xfId="8" applyNumberFormat="1" applyFont="1" applyFill="1" applyBorder="1" applyAlignment="1">
      <alignment horizontal="center" vertical="center" wrapText="1"/>
    </xf>
    <xf numFmtId="0" fontId="54" fillId="3" borderId="12" xfId="8" quotePrefix="1" applyFont="1" applyFill="1" applyBorder="1" applyAlignment="1">
      <alignment horizontal="center" vertical="center" wrapText="1"/>
    </xf>
    <xf numFmtId="43" fontId="56" fillId="3" borderId="12" xfId="8" applyNumberFormat="1" applyFont="1" applyFill="1" applyBorder="1" applyAlignment="1">
      <alignment horizontal="center" vertical="center" wrapText="1"/>
    </xf>
    <xf numFmtId="43" fontId="56" fillId="3" borderId="10" xfId="8" applyNumberFormat="1" applyFont="1" applyFill="1" applyBorder="1" applyAlignment="1">
      <alignment horizontal="center" vertical="center" wrapText="1"/>
    </xf>
    <xf numFmtId="0" fontId="54" fillId="3" borderId="12" xfId="8" applyFont="1" applyFill="1" applyBorder="1" applyAlignment="1">
      <alignment horizontal="left" vertical="center" wrapText="1"/>
    </xf>
    <xf numFmtId="0" fontId="54" fillId="3" borderId="61" xfId="8" applyFont="1" applyFill="1" applyBorder="1" applyAlignment="1">
      <alignment horizontal="center" vertical="center" wrapText="1"/>
    </xf>
    <xf numFmtId="0" fontId="54" fillId="3" borderId="12" xfId="8" quotePrefix="1" applyFont="1" applyFill="1" applyBorder="1" applyAlignment="1">
      <alignment vertical="center" wrapText="1"/>
    </xf>
    <xf numFmtId="0" fontId="7" fillId="3" borderId="61" xfId="0" applyFont="1" applyFill="1" applyBorder="1" applyAlignment="1">
      <alignment horizontal="center" vertical="center" wrapText="1"/>
    </xf>
    <xf numFmtId="0" fontId="7" fillId="3" borderId="12" xfId="0" quotePrefix="1" applyFont="1" applyFill="1" applyBorder="1" applyAlignment="1">
      <alignment horizontal="center" vertical="center" wrapText="1"/>
    </xf>
    <xf numFmtId="0" fontId="7" fillId="3" borderId="12" xfId="0" quotePrefix="1" applyFont="1" applyFill="1" applyBorder="1" applyAlignment="1">
      <alignment vertical="center" wrapText="1"/>
    </xf>
    <xf numFmtId="0" fontId="7" fillId="3"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7" fillId="3" borderId="11" xfId="11"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quotePrefix="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12" xfId="0" quotePrefix="1" applyFont="1" applyFill="1" applyBorder="1" applyAlignment="1">
      <alignment vertical="center" wrapText="1"/>
    </xf>
    <xf numFmtId="0" fontId="7" fillId="0" borderId="11" xfId="11" applyNumberFormat="1" applyFont="1" applyFill="1" applyBorder="1" applyAlignment="1">
      <alignment horizontal="center" vertical="center" wrapText="1"/>
    </xf>
    <xf numFmtId="43" fontId="7" fillId="0" borderId="12" xfId="0" applyNumberFormat="1" applyFont="1" applyFill="1" applyBorder="1" applyAlignment="1">
      <alignment horizontal="center" vertical="center" wrapText="1"/>
    </xf>
    <xf numFmtId="43" fontId="7" fillId="0" borderId="10" xfId="0" applyNumberFormat="1" applyFont="1" applyFill="1" applyBorder="1" applyAlignment="1">
      <alignment horizontal="center" vertical="center" wrapText="1"/>
    </xf>
    <xf numFmtId="43" fontId="57" fillId="0" borderId="12" xfId="0" applyNumberFormat="1" applyFont="1" applyFill="1" applyBorder="1" applyAlignment="1">
      <alignment horizontal="center" vertical="center" wrapText="1"/>
    </xf>
    <xf numFmtId="43" fontId="57" fillId="0" borderId="10" xfId="0" applyNumberFormat="1" applyFont="1" applyFill="1" applyBorder="1" applyAlignment="1">
      <alignment horizontal="center" vertical="center" wrapText="1"/>
    </xf>
    <xf numFmtId="0" fontId="7" fillId="0" borderId="102" xfId="12" applyNumberFormat="1" applyFont="1" applyBorder="1" applyAlignment="1">
      <alignment horizontal="center" vertical="center" wrapText="1"/>
    </xf>
    <xf numFmtId="43" fontId="7" fillId="0" borderId="102" xfId="0" applyNumberFormat="1" applyFont="1" applyBorder="1" applyAlignment="1">
      <alignment horizontal="center" wrapText="1"/>
    </xf>
    <xf numFmtId="167" fontId="7" fillId="0" borderId="102" xfId="0" applyNumberFormat="1" applyFont="1" applyBorder="1" applyAlignment="1">
      <alignment horizontal="center" wrapText="1"/>
    </xf>
    <xf numFmtId="0" fontId="7" fillId="0" borderId="11" xfId="12" applyNumberFormat="1" applyFont="1" applyFill="1" applyBorder="1" applyAlignment="1">
      <alignment horizontal="center" vertical="center" wrapText="1"/>
    </xf>
    <xf numFmtId="0" fontId="7" fillId="0" borderId="11" xfId="12" applyNumberFormat="1" applyFont="1" applyBorder="1" applyAlignment="1">
      <alignment horizontal="center" vertical="center" wrapText="1"/>
    </xf>
    <xf numFmtId="0" fontId="7" fillId="0" borderId="12" xfId="0" applyFont="1" applyBorder="1" applyAlignment="1">
      <alignment vertical="center" wrapText="1"/>
    </xf>
    <xf numFmtId="0" fontId="7" fillId="0" borderId="52" xfId="12" applyNumberFormat="1" applyFont="1" applyBorder="1" applyAlignment="1">
      <alignment horizontal="center" vertical="center" wrapText="1"/>
    </xf>
    <xf numFmtId="0" fontId="7" fillId="3" borderId="11" xfId="12" applyNumberFormat="1" applyFont="1" applyFill="1" applyBorder="1" applyAlignment="1">
      <alignment horizontal="center" vertical="center" wrapText="1"/>
    </xf>
    <xf numFmtId="43" fontId="7" fillId="0" borderId="11" xfId="0" applyNumberFormat="1" applyFont="1" applyFill="1" applyBorder="1" applyAlignment="1">
      <alignment horizontal="center" vertical="center" wrapText="1"/>
    </xf>
    <xf numFmtId="0" fontId="54" fillId="0" borderId="61" xfId="13" applyFont="1" applyBorder="1" applyAlignment="1">
      <alignment horizontal="center" vertical="center" wrapText="1"/>
    </xf>
    <xf numFmtId="0" fontId="54" fillId="0" borderId="10" xfId="13" applyFont="1" applyBorder="1" applyAlignment="1">
      <alignment horizontal="center" vertical="center" wrapText="1"/>
    </xf>
    <xf numFmtId="0" fontId="54" fillId="0" borderId="40" xfId="13" applyFont="1" applyBorder="1" applyAlignment="1">
      <alignment vertical="center" wrapText="1"/>
    </xf>
    <xf numFmtId="0" fontId="54" fillId="0" borderId="10" xfId="13" quotePrefix="1" applyFont="1" applyBorder="1" applyAlignment="1">
      <alignment horizontal="center" vertical="center" wrapText="1"/>
    </xf>
    <xf numFmtId="167" fontId="5" fillId="0" borderId="43" xfId="0" applyNumberFormat="1" applyFont="1" applyBorder="1" applyAlignment="1">
      <alignment horizontal="center" vertical="center" wrapText="1"/>
    </xf>
    <xf numFmtId="167" fontId="55" fillId="3" borderId="43" xfId="8" applyNumberFormat="1" applyFont="1" applyFill="1" applyBorder="1" applyAlignment="1">
      <alignment horizontal="center" vertical="center" wrapText="1"/>
    </xf>
    <xf numFmtId="167" fontId="54" fillId="3" borderId="43" xfId="8" applyNumberFormat="1" applyFont="1" applyFill="1" applyBorder="1" applyAlignment="1">
      <alignment horizontal="center" vertical="center" wrapText="1"/>
    </xf>
    <xf numFmtId="167" fontId="5" fillId="0" borderId="43" xfId="0" applyNumberFormat="1" applyFont="1" applyFill="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67" fontId="5" fillId="0" borderId="9" xfId="0" applyNumberFormat="1" applyFont="1" applyBorder="1" applyAlignment="1">
      <alignment horizontal="center" vertical="center" wrapText="1"/>
    </xf>
    <xf numFmtId="167" fontId="5" fillId="0" borderId="10" xfId="0" applyNumberFormat="1" applyFont="1" applyBorder="1" applyAlignment="1">
      <alignment horizontal="center" vertical="center" wrapText="1"/>
    </xf>
    <xf numFmtId="167" fontId="55" fillId="3" borderId="10" xfId="8" applyNumberFormat="1" applyFont="1" applyFill="1" applyBorder="1" applyAlignment="1">
      <alignment horizontal="center" vertical="center" wrapText="1"/>
    </xf>
    <xf numFmtId="167" fontId="5" fillId="0" borderId="10" xfId="0" applyNumberFormat="1" applyFont="1" applyFill="1" applyBorder="1" applyAlignment="1">
      <alignment horizontal="center" vertical="center" wrapText="1"/>
    </xf>
    <xf numFmtId="167" fontId="7" fillId="0" borderId="10" xfId="0" applyNumberFormat="1" applyFont="1" applyFill="1" applyBorder="1" applyAlignment="1">
      <alignment horizontal="center" vertical="center" wrapText="1"/>
    </xf>
    <xf numFmtId="167" fontId="7" fillId="0" borderId="12" xfId="0" applyNumberFormat="1" applyFont="1" applyFill="1" applyBorder="1" applyAlignment="1">
      <alignment horizontal="center" vertical="center" wrapText="1"/>
    </xf>
    <xf numFmtId="43" fontId="54" fillId="0" borderId="102" xfId="8" applyNumberFormat="1" applyFont="1" applyFill="1" applyBorder="1" applyAlignment="1">
      <alignment horizontal="center" vertical="center" wrapText="1"/>
    </xf>
    <xf numFmtId="167" fontId="7" fillId="0" borderId="9" xfId="0" applyNumberFormat="1" applyFont="1" applyBorder="1" applyAlignment="1">
      <alignment vertical="center"/>
    </xf>
    <xf numFmtId="0" fontId="5" fillId="0" borderId="50" xfId="0" applyFont="1" applyBorder="1" applyAlignment="1">
      <alignment horizontal="center" vertical="center" wrapText="1"/>
    </xf>
    <xf numFmtId="0" fontId="5" fillId="0" borderId="33" xfId="0" applyFont="1" applyBorder="1" applyAlignment="1">
      <alignment horizontal="center" vertical="center" wrapText="1"/>
    </xf>
    <xf numFmtId="0" fontId="54" fillId="3" borderId="12" xfId="8" quotePrefix="1" applyFont="1" applyFill="1" applyBorder="1" applyAlignment="1">
      <alignment horizontal="left" vertical="center" wrapText="1"/>
    </xf>
    <xf numFmtId="43" fontId="7" fillId="3" borderId="11" xfId="0" applyNumberFormat="1" applyFont="1" applyFill="1" applyBorder="1" applyAlignment="1">
      <alignment horizontal="center" vertical="center" wrapText="1"/>
    </xf>
    <xf numFmtId="43" fontId="7" fillId="0" borderId="12" xfId="0" applyNumberFormat="1" applyFont="1" applyBorder="1" applyAlignment="1">
      <alignment horizontal="center" vertical="center" wrapText="1"/>
    </xf>
    <xf numFmtId="167" fontId="7" fillId="3" borderId="10" xfId="11" applyNumberFormat="1" applyFont="1" applyFill="1" applyBorder="1" applyAlignment="1">
      <alignment horizontal="center" vertical="center" wrapText="1"/>
    </xf>
    <xf numFmtId="0" fontId="7" fillId="0" borderId="50" xfId="0" applyFont="1" applyFill="1" applyBorder="1" applyAlignment="1">
      <alignment vertical="center" wrapText="1"/>
    </xf>
    <xf numFmtId="43" fontId="7" fillId="0" borderId="102" xfId="0" applyNumberFormat="1" applyFont="1" applyBorder="1" applyAlignment="1">
      <alignment horizontal="center" vertical="center" wrapText="1"/>
    </xf>
    <xf numFmtId="167" fontId="7" fillId="0" borderId="102" xfId="0" applyNumberFormat="1" applyFont="1" applyBorder="1" applyAlignment="1">
      <alignment horizontal="center" vertical="center" wrapText="1"/>
    </xf>
    <xf numFmtId="43" fontId="7" fillId="0" borderId="11" xfId="0" applyNumberFormat="1" applyFont="1" applyBorder="1" applyAlignment="1">
      <alignment horizontal="center" vertical="center" wrapText="1"/>
    </xf>
    <xf numFmtId="167" fontId="7" fillId="0" borderId="12" xfId="0" applyNumberFormat="1" applyFont="1" applyBorder="1" applyAlignment="1">
      <alignment horizontal="center" vertical="center" wrapText="1"/>
    </xf>
    <xf numFmtId="167" fontId="7" fillId="0" borderId="43" xfId="0" applyNumberFormat="1" applyFont="1" applyBorder="1" applyAlignment="1">
      <alignment horizontal="center" vertical="center" wrapText="1"/>
    </xf>
    <xf numFmtId="167" fontId="7" fillId="0" borderId="10" xfId="0" applyNumberFormat="1" applyFont="1" applyBorder="1" applyAlignment="1">
      <alignment horizontal="center" vertical="center" wrapText="1"/>
    </xf>
    <xf numFmtId="0" fontId="7" fillId="0" borderId="177" xfId="0" quotePrefix="1" applyFont="1" applyFill="1" applyBorder="1" applyAlignment="1">
      <alignment horizontal="left" vertical="center" wrapText="1"/>
    </xf>
    <xf numFmtId="0" fontId="7" fillId="0" borderId="33" xfId="0" applyFont="1" applyBorder="1" applyAlignment="1">
      <alignment vertical="center"/>
    </xf>
    <xf numFmtId="0" fontId="7" fillId="0" borderId="50" xfId="0" applyFont="1" applyBorder="1" applyAlignment="1">
      <alignment vertical="center"/>
    </xf>
    <xf numFmtId="0" fontId="7" fillId="0" borderId="47" xfId="0" quotePrefix="1" applyFont="1" applyFill="1" applyBorder="1" applyAlignment="1">
      <alignment vertical="center" wrapText="1"/>
    </xf>
    <xf numFmtId="41" fontId="7" fillId="0" borderId="12" xfId="12" applyFont="1" applyFill="1" applyBorder="1" applyAlignment="1">
      <alignment horizontal="center" vertical="center" wrapText="1"/>
    </xf>
    <xf numFmtId="43" fontId="7" fillId="0" borderId="52" xfId="0" applyNumberFormat="1" applyFont="1" applyBorder="1" applyAlignment="1">
      <alignment horizontal="center" vertical="center" wrapText="1"/>
    </xf>
    <xf numFmtId="167" fontId="7" fillId="0" borderId="50" xfId="0" applyNumberFormat="1" applyFont="1" applyBorder="1" applyAlignment="1">
      <alignment horizontal="center" vertical="center" wrapText="1"/>
    </xf>
    <xf numFmtId="167" fontId="7" fillId="3" borderId="12" xfId="0" applyNumberFormat="1" applyFont="1" applyFill="1" applyBorder="1" applyAlignment="1">
      <alignment horizontal="center" vertical="center" wrapText="1"/>
    </xf>
    <xf numFmtId="167" fontId="7" fillId="3" borderId="43"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0" fontId="54" fillId="0" borderId="46" xfId="13" applyFont="1" applyBorder="1" applyAlignment="1">
      <alignment horizontal="center" vertical="center" wrapText="1"/>
    </xf>
    <xf numFmtId="0" fontId="55" fillId="0" borderId="10" xfId="13" applyFont="1" applyBorder="1" applyAlignment="1">
      <alignment horizontal="left" vertical="center" wrapText="1"/>
    </xf>
    <xf numFmtId="167" fontId="54" fillId="0" borderId="11" xfId="13" applyNumberFormat="1" applyFont="1" applyFill="1" applyBorder="1" applyAlignment="1">
      <alignment horizontal="center" vertical="center" wrapText="1"/>
    </xf>
    <xf numFmtId="43" fontId="54" fillId="0" borderId="11" xfId="13" applyNumberFormat="1" applyFont="1" applyFill="1" applyBorder="1" applyAlignment="1">
      <alignment horizontal="center" vertical="center" wrapText="1"/>
    </xf>
    <xf numFmtId="167" fontId="54" fillId="0" borderId="12" xfId="13" applyNumberFormat="1" applyFont="1" applyFill="1" applyBorder="1" applyAlignment="1">
      <alignment horizontal="center" vertical="center" wrapText="1"/>
    </xf>
    <xf numFmtId="167" fontId="55" fillId="0" borderId="43" xfId="13" applyNumberFormat="1" applyFont="1" applyFill="1" applyBorder="1" applyAlignment="1">
      <alignment horizontal="center" vertical="center" wrapText="1"/>
    </xf>
    <xf numFmtId="167" fontId="55" fillId="0" borderId="10" xfId="13" applyNumberFormat="1" applyFont="1" applyFill="1" applyBorder="1" applyAlignment="1">
      <alignment horizontal="center" vertical="center" wrapText="1"/>
    </xf>
    <xf numFmtId="0" fontId="54" fillId="0" borderId="46" xfId="13" quotePrefix="1" applyFont="1" applyBorder="1" applyAlignment="1">
      <alignment horizontal="center" vertical="center" wrapText="1"/>
    </xf>
    <xf numFmtId="0" fontId="54" fillId="0" borderId="10" xfId="13" applyFont="1" applyBorder="1" applyAlignment="1">
      <alignment horizontal="left" vertical="center" wrapText="1"/>
    </xf>
    <xf numFmtId="167" fontId="54" fillId="0" borderId="43" xfId="13" applyNumberFormat="1" applyFont="1" applyFill="1" applyBorder="1" applyAlignment="1">
      <alignment horizontal="center" vertical="center" wrapText="1"/>
    </xf>
    <xf numFmtId="167" fontId="54" fillId="0" borderId="10" xfId="13" applyNumberFormat="1" applyFont="1" applyFill="1" applyBorder="1" applyAlignment="1">
      <alignment horizontal="center" vertical="center" wrapText="1"/>
    </xf>
    <xf numFmtId="0" fontId="54" fillId="0" borderId="102" xfId="13" quotePrefix="1" applyFont="1" applyBorder="1" applyAlignment="1">
      <alignment vertical="center" wrapText="1"/>
    </xf>
    <xf numFmtId="0" fontId="54" fillId="0" borderId="102" xfId="13" applyNumberFormat="1" applyFont="1" applyFill="1" applyBorder="1" applyAlignment="1">
      <alignment horizontal="center" vertical="center" wrapText="1"/>
    </xf>
    <xf numFmtId="43" fontId="54" fillId="0" borderId="102" xfId="13" applyNumberFormat="1" applyFont="1" applyFill="1" applyBorder="1" applyAlignment="1">
      <alignment horizontal="center" vertical="center" wrapText="1"/>
    </xf>
    <xf numFmtId="167" fontId="54" fillId="0" borderId="102" xfId="13" applyNumberFormat="1" applyFont="1" applyFill="1" applyBorder="1" applyAlignment="1">
      <alignment horizontal="center" vertical="center" wrapText="1"/>
    </xf>
    <xf numFmtId="167" fontId="54" fillId="0" borderId="162" xfId="13" applyNumberFormat="1" applyFont="1" applyFill="1" applyBorder="1" applyAlignment="1">
      <alignment horizontal="center" vertical="center" wrapText="1"/>
    </xf>
    <xf numFmtId="0" fontId="54" fillId="0" borderId="178" xfId="13" applyNumberFormat="1" applyFont="1" applyFill="1" applyBorder="1" applyAlignment="1">
      <alignment horizontal="center" vertical="center" wrapText="1"/>
    </xf>
    <xf numFmtId="43" fontId="54" fillId="0" borderId="178" xfId="13" applyNumberFormat="1" applyFont="1" applyFill="1" applyBorder="1" applyAlignment="1">
      <alignment horizontal="center" vertical="center" wrapText="1"/>
    </xf>
    <xf numFmtId="167" fontId="54" fillId="0" borderId="178" xfId="13" applyNumberFormat="1"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33" xfId="0" quotePrefix="1" applyFont="1" applyFill="1" applyBorder="1" applyAlignment="1">
      <alignment horizontal="center" vertical="center" wrapText="1"/>
    </xf>
    <xf numFmtId="0" fontId="7" fillId="3" borderId="33" xfId="0" quotePrefix="1" applyFont="1" applyFill="1" applyBorder="1" applyAlignment="1">
      <alignment vertical="center" wrapText="1"/>
    </xf>
    <xf numFmtId="0" fontId="7" fillId="3" borderId="33" xfId="0" applyFont="1" applyFill="1" applyBorder="1" applyAlignment="1">
      <alignment horizontal="center" vertical="center" wrapText="1"/>
    </xf>
    <xf numFmtId="0" fontId="58" fillId="3" borderId="50" xfId="0" applyFont="1" applyFill="1" applyBorder="1" applyAlignment="1">
      <alignment vertical="center"/>
    </xf>
    <xf numFmtId="41" fontId="7" fillId="3" borderId="52" xfId="12" applyFont="1" applyFill="1" applyBorder="1" applyAlignment="1">
      <alignment horizontal="center" vertical="center" wrapText="1"/>
    </xf>
    <xf numFmtId="43" fontId="7" fillId="3" borderId="52" xfId="0" applyNumberFormat="1" applyFont="1" applyFill="1" applyBorder="1" applyAlignment="1">
      <alignment horizontal="center" vertical="center" wrapText="1"/>
    </xf>
    <xf numFmtId="167" fontId="7" fillId="3" borderId="50" xfId="0" applyNumberFormat="1" applyFont="1" applyFill="1" applyBorder="1" applyAlignment="1">
      <alignment horizontal="center" vertical="center" wrapText="1"/>
    </xf>
    <xf numFmtId="167" fontId="7" fillId="3" borderId="101" xfId="0" applyNumberFormat="1" applyFont="1" applyFill="1" applyBorder="1" applyAlignment="1">
      <alignment horizontal="center" vertical="center" wrapText="1"/>
    </xf>
    <xf numFmtId="167" fontId="5" fillId="3" borderId="88" xfId="0" applyNumberFormat="1" applyFont="1" applyFill="1" applyBorder="1" applyAlignment="1">
      <alignment horizontal="center" vertical="center"/>
    </xf>
    <xf numFmtId="167" fontId="7" fillId="0" borderId="13" xfId="0" applyNumberFormat="1" applyFont="1" applyBorder="1" applyAlignment="1">
      <alignment vertical="center"/>
    </xf>
    <xf numFmtId="0" fontId="7" fillId="0" borderId="0" xfId="0" applyFont="1" applyBorder="1" applyAlignment="1">
      <alignment vertical="center" wrapText="1"/>
    </xf>
    <xf numFmtId="166" fontId="7" fillId="0" borderId="0" xfId="6" applyFont="1" applyBorder="1" applyAlignment="1">
      <alignment horizontal="center" vertical="center" wrapText="1"/>
    </xf>
    <xf numFmtId="166" fontId="7" fillId="0" borderId="0" xfId="6" applyFont="1" applyBorder="1" applyAlignment="1">
      <alignment vertical="center" wrapText="1"/>
    </xf>
    <xf numFmtId="166" fontId="7" fillId="0" borderId="57" xfId="6" applyFont="1" applyBorder="1" applyAlignment="1">
      <alignment vertical="center" wrapText="1"/>
    </xf>
    <xf numFmtId="166" fontId="7" fillId="0" borderId="57" xfId="6" applyFont="1" applyBorder="1" applyAlignment="1">
      <alignment horizontal="center" vertical="center" wrapText="1"/>
    </xf>
    <xf numFmtId="0" fontId="31" fillId="0" borderId="0" xfId="0" applyFont="1" applyBorder="1" applyAlignment="1">
      <alignment vertical="center"/>
    </xf>
    <xf numFmtId="0" fontId="14" fillId="0" borderId="0" xfId="0" applyFont="1" applyBorder="1" applyAlignment="1">
      <alignment horizontal="center" vertical="center"/>
    </xf>
    <xf numFmtId="0" fontId="5" fillId="0" borderId="58" xfId="0" applyFont="1" applyBorder="1" applyAlignment="1">
      <alignment vertical="center"/>
    </xf>
    <xf numFmtId="164" fontId="4" fillId="0" borderId="46" xfId="0" applyNumberFormat="1" applyFont="1" applyBorder="1" applyAlignment="1">
      <alignment vertical="center"/>
    </xf>
    <xf numFmtId="0" fontId="4" fillId="0" borderId="5" xfId="0" applyFont="1" applyBorder="1" applyAlignment="1">
      <alignment horizontal="center" vertical="center"/>
    </xf>
    <xf numFmtId="0" fontId="7" fillId="0" borderId="5" xfId="0" applyFont="1" applyBorder="1" applyAlignment="1">
      <alignment horizontal="left" vertical="center"/>
    </xf>
    <xf numFmtId="20" fontId="7" fillId="0" borderId="5" xfId="0" quotePrefix="1" applyNumberFormat="1" applyFont="1" applyBorder="1" applyAlignment="1">
      <alignment vertical="center"/>
    </xf>
    <xf numFmtId="0" fontId="7" fillId="0" borderId="35" xfId="0" quotePrefix="1" applyFont="1" applyBorder="1" applyAlignment="1">
      <alignment vertical="center"/>
    </xf>
    <xf numFmtId="0" fontId="4" fillId="0" borderId="76" xfId="0" applyFont="1" applyBorder="1" applyAlignment="1">
      <alignment horizontal="center" vertical="center"/>
    </xf>
    <xf numFmtId="0" fontId="7" fillId="0" borderId="5" xfId="0" quotePrefix="1" applyFont="1" applyBorder="1" applyAlignment="1">
      <alignment vertical="center"/>
    </xf>
    <xf numFmtId="164" fontId="4" fillId="0" borderId="137" xfId="0" applyNumberFormat="1" applyFont="1" applyBorder="1" applyAlignment="1">
      <alignment vertical="center"/>
    </xf>
    <xf numFmtId="0" fontId="4" fillId="0" borderId="5" xfId="9" applyFont="1" applyBorder="1" applyAlignment="1">
      <alignment horizontal="center" vertical="center"/>
    </xf>
    <xf numFmtId="0" fontId="4" fillId="0" borderId="13" xfId="9" applyFont="1" applyBorder="1" applyAlignment="1">
      <alignment horizontal="center" vertical="center"/>
    </xf>
    <xf numFmtId="0" fontId="7" fillId="0" borderId="13" xfId="0" applyFont="1" applyBorder="1" applyAlignment="1">
      <alignment horizontal="left" vertical="center"/>
    </xf>
    <xf numFmtId="0" fontId="7" fillId="0" borderId="13" xfId="0" quotePrefix="1" applyFont="1" applyBorder="1" applyAlignment="1">
      <alignment vertical="center"/>
    </xf>
    <xf numFmtId="0" fontId="7" fillId="0" borderId="83" xfId="0" applyFont="1" applyBorder="1" applyAlignment="1">
      <alignment vertical="center"/>
    </xf>
    <xf numFmtId="2" fontId="7" fillId="0" borderId="83" xfId="0" applyNumberFormat="1" applyFont="1" applyBorder="1" applyAlignment="1">
      <alignment horizontal="center" vertical="center"/>
    </xf>
    <xf numFmtId="167" fontId="7" fillId="0" borderId="15" xfId="0" applyNumberFormat="1" applyFont="1" applyBorder="1" applyAlignment="1">
      <alignment vertical="center"/>
    </xf>
    <xf numFmtId="43" fontId="56" fillId="0" borderId="12" xfId="8" applyNumberFormat="1" applyFont="1" applyBorder="1" applyAlignment="1">
      <alignment horizontal="center" vertical="center" wrapText="1"/>
    </xf>
    <xf numFmtId="43" fontId="54" fillId="0" borderId="12" xfId="8" applyNumberFormat="1" applyFont="1" applyFill="1" applyBorder="1" applyAlignment="1">
      <alignment horizontal="center" vertical="center" wrapText="1"/>
    </xf>
    <xf numFmtId="167" fontId="54" fillId="0" borderId="12" xfId="8" applyNumberFormat="1" applyFont="1" applyFill="1" applyBorder="1" applyAlignment="1">
      <alignment horizontal="center" vertical="center" wrapText="1"/>
    </xf>
    <xf numFmtId="0" fontId="54" fillId="0" borderId="12" xfId="8" quotePrefix="1" applyFont="1" applyFill="1" applyBorder="1" applyAlignment="1">
      <alignment horizontal="left" vertical="center" wrapText="1"/>
    </xf>
    <xf numFmtId="49" fontId="54" fillId="3" borderId="12" xfId="8" applyNumberFormat="1" applyFont="1" applyFill="1" applyBorder="1" applyAlignment="1">
      <alignment horizontal="left" vertical="center" wrapText="1"/>
    </xf>
    <xf numFmtId="167" fontId="7" fillId="0" borderId="50" xfId="0" applyNumberFormat="1" applyFont="1" applyBorder="1" applyAlignment="1">
      <alignment vertical="center"/>
    </xf>
    <xf numFmtId="0" fontId="50" fillId="0" borderId="51" xfId="0" quotePrefix="1" applyFont="1" applyBorder="1" applyAlignment="1">
      <alignment vertical="center"/>
    </xf>
    <xf numFmtId="0" fontId="50" fillId="0" borderId="51" xfId="0" applyFont="1" applyBorder="1" applyAlignment="1">
      <alignment horizontal="center" vertical="center"/>
    </xf>
    <xf numFmtId="41" fontId="50" fillId="0" borderId="51" xfId="3" applyFont="1" applyBorder="1" applyAlignment="1">
      <alignment vertical="center"/>
    </xf>
    <xf numFmtId="167" fontId="7" fillId="0" borderId="0" xfId="0" applyNumberFormat="1" applyFont="1" applyFill="1" applyBorder="1" applyAlignment="1">
      <alignment horizontal="center" vertical="center" wrapText="1"/>
    </xf>
    <xf numFmtId="0" fontId="50" fillId="3" borderId="51" xfId="0" applyFont="1" applyFill="1" applyBorder="1" applyAlignment="1">
      <alignment horizontal="center" vertical="center"/>
    </xf>
    <xf numFmtId="41" fontId="50" fillId="3" borderId="51" xfId="3" applyFont="1" applyFill="1" applyBorder="1" applyAlignment="1">
      <alignment vertical="center"/>
    </xf>
    <xf numFmtId="167" fontId="7" fillId="3" borderId="0" xfId="0" applyNumberFormat="1" applyFont="1" applyFill="1" applyBorder="1" applyAlignment="1">
      <alignment horizontal="center" vertical="center" wrapText="1"/>
    </xf>
    <xf numFmtId="0" fontId="7" fillId="0" borderId="17" xfId="0" applyFont="1" applyBorder="1" applyAlignment="1">
      <alignment vertical="center"/>
    </xf>
    <xf numFmtId="0" fontId="4" fillId="0" borderId="7" xfId="0" applyFont="1" applyBorder="1" applyAlignment="1">
      <alignment horizontal="left" vertical="center" wrapText="1"/>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7" fillId="0" borderId="26" xfId="0" applyFont="1" applyBorder="1" applyAlignment="1">
      <alignment vertical="center" wrapText="1"/>
    </xf>
    <xf numFmtId="0" fontId="7" fillId="3" borderId="0" xfId="0" applyFont="1" applyFill="1" applyBorder="1" applyAlignment="1">
      <alignment vertical="center"/>
    </xf>
    <xf numFmtId="0" fontId="5" fillId="3" borderId="0" xfId="0" applyFont="1" applyFill="1" applyBorder="1" applyAlignment="1">
      <alignment horizontal="center" vertical="center" wrapText="1"/>
    </xf>
    <xf numFmtId="0" fontId="7" fillId="3" borderId="1" xfId="0" applyFont="1" applyFill="1" applyBorder="1" applyAlignment="1">
      <alignment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8"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3" borderId="83" xfId="0" applyFont="1" applyFill="1" applyBorder="1" applyAlignment="1">
      <alignment horizontal="center" vertical="center" wrapText="1"/>
    </xf>
    <xf numFmtId="2" fontId="7" fillId="0" borderId="84" xfId="0" applyNumberFormat="1" applyFont="1" applyBorder="1" applyAlignment="1">
      <alignment horizontal="center" vertical="center"/>
    </xf>
    <xf numFmtId="0" fontId="5" fillId="0" borderId="12" xfId="0" applyFont="1" applyBorder="1" applyAlignment="1">
      <alignment vertical="center"/>
    </xf>
    <xf numFmtId="167" fontId="7" fillId="0" borderId="11" xfId="1" applyNumberFormat="1" applyFont="1" applyBorder="1" applyAlignment="1">
      <alignment horizontal="center" vertical="center" wrapText="1"/>
    </xf>
    <xf numFmtId="43" fontId="57" fillId="0" borderId="12" xfId="0" applyNumberFormat="1" applyFont="1" applyBorder="1" applyAlignment="1">
      <alignment horizontal="center" vertical="center" wrapText="1"/>
    </xf>
    <xf numFmtId="43" fontId="57" fillId="0" borderId="10" xfId="0" applyNumberFormat="1" applyFont="1" applyBorder="1" applyAlignment="1">
      <alignment horizontal="center" vertical="center" wrapText="1"/>
    </xf>
    <xf numFmtId="41" fontId="50" fillId="0" borderId="12" xfId="2" applyFont="1" applyBorder="1" applyAlignment="1">
      <alignment horizontal="center" vertical="center"/>
    </xf>
    <xf numFmtId="41" fontId="7" fillId="0" borderId="12" xfId="2" applyFont="1" applyBorder="1" applyAlignment="1">
      <alignment vertical="center"/>
    </xf>
    <xf numFmtId="41" fontId="58" fillId="0" borderId="12" xfId="2" applyFont="1" applyBorder="1" applyAlignment="1">
      <alignment vertical="center"/>
    </xf>
    <xf numFmtId="41" fontId="58" fillId="0" borderId="11" xfId="2" applyFont="1" applyBorder="1" applyAlignment="1">
      <alignment horizontal="center" vertical="center"/>
    </xf>
    <xf numFmtId="41" fontId="61" fillId="0" borderId="12" xfId="2" applyFont="1" applyBorder="1" applyAlignment="1">
      <alignment horizontal="center" vertical="center"/>
    </xf>
    <xf numFmtId="41" fontId="58" fillId="0" borderId="12" xfId="2" applyFont="1" applyFill="1" applyBorder="1" applyAlignment="1">
      <alignment horizontal="center" vertical="center"/>
    </xf>
    <xf numFmtId="41" fontId="7" fillId="0" borderId="12" xfId="1" applyNumberFormat="1" applyFont="1" applyFill="1" applyBorder="1" applyAlignment="1">
      <alignment vertical="center"/>
    </xf>
    <xf numFmtId="41" fontId="61" fillId="0" borderId="12" xfId="2" applyFont="1" applyBorder="1" applyAlignment="1">
      <alignment vertical="center"/>
    </xf>
    <xf numFmtId="167" fontId="5" fillId="3" borderId="13" xfId="0" applyNumberFormat="1" applyFont="1" applyFill="1" applyBorder="1" applyAlignment="1">
      <alignment horizontal="center" vertical="center"/>
    </xf>
    <xf numFmtId="0" fontId="55" fillId="0" borderId="156" xfId="8" applyFont="1" applyBorder="1" applyAlignment="1">
      <alignment horizontal="center" vertical="center" wrapText="1"/>
    </xf>
    <xf numFmtId="0" fontId="54" fillId="0" borderId="160" xfId="8" applyFont="1" applyBorder="1" applyAlignment="1">
      <alignment horizontal="center" vertical="center" wrapText="1"/>
    </xf>
    <xf numFmtId="0" fontId="54" fillId="0" borderId="102" xfId="8" quotePrefix="1" applyFont="1" applyBorder="1" applyAlignment="1">
      <alignment horizontal="center" vertical="center" wrapText="1"/>
    </xf>
    <xf numFmtId="0" fontId="54" fillId="0" borderId="102" xfId="8" quotePrefix="1" applyFont="1" applyBorder="1" applyAlignment="1">
      <alignment vertical="center" wrapText="1"/>
    </xf>
    <xf numFmtId="0" fontId="54" fillId="0" borderId="102" xfId="8" applyFont="1" applyBorder="1" applyAlignment="1">
      <alignment horizontal="center" vertical="center" wrapText="1"/>
    </xf>
    <xf numFmtId="0" fontId="55" fillId="0" borderId="102" xfId="8" applyNumberFormat="1" applyFont="1" applyBorder="1" applyAlignment="1">
      <alignment horizontal="center" vertical="center" wrapText="1"/>
    </xf>
    <xf numFmtId="0" fontId="55" fillId="0" borderId="102" xfId="8" applyFont="1" applyBorder="1" applyAlignment="1">
      <alignment horizontal="center" vertical="center" wrapText="1"/>
    </xf>
    <xf numFmtId="0" fontId="54" fillId="0" borderId="102" xfId="11" applyNumberFormat="1" applyFont="1" applyBorder="1" applyAlignment="1">
      <alignment horizontal="center" vertical="center" wrapText="1"/>
    </xf>
    <xf numFmtId="43" fontId="54" fillId="0" borderId="102" xfId="8" applyNumberFormat="1" applyFont="1" applyBorder="1" applyAlignment="1">
      <alignment horizontal="center" vertical="center" wrapText="1"/>
    </xf>
    <xf numFmtId="43" fontId="56" fillId="0" borderId="102" xfId="8" applyNumberFormat="1" applyFont="1" applyBorder="1" applyAlignment="1">
      <alignment horizontal="center" vertical="center" wrapText="1"/>
    </xf>
    <xf numFmtId="0" fontId="54" fillId="0" borderId="102" xfId="8" applyNumberFormat="1" applyFont="1" applyFill="1" applyBorder="1" applyAlignment="1">
      <alignment horizontal="center" vertical="center" wrapText="1"/>
    </xf>
    <xf numFmtId="167" fontId="54" fillId="0" borderId="102" xfId="8" applyNumberFormat="1" applyFont="1" applyFill="1" applyBorder="1" applyAlignment="1">
      <alignment horizontal="center" vertical="center" wrapText="1"/>
    </xf>
    <xf numFmtId="0" fontId="7" fillId="0" borderId="160" xfId="0" applyFont="1" applyBorder="1" applyAlignment="1">
      <alignment horizontal="center" vertical="center" wrapText="1"/>
    </xf>
    <xf numFmtId="0" fontId="7" fillId="0" borderId="102" xfId="0" quotePrefix="1" applyFont="1" applyBorder="1" applyAlignment="1">
      <alignment horizontal="center" vertical="center" wrapText="1"/>
    </xf>
    <xf numFmtId="0" fontId="7" fillId="0" borderId="102" xfId="0" quotePrefix="1" applyFont="1" applyBorder="1" applyAlignment="1">
      <alignment vertical="center" wrapText="1"/>
    </xf>
    <xf numFmtId="0" fontId="7" fillId="0" borderId="102" xfId="0" applyFont="1" applyBorder="1" applyAlignment="1">
      <alignment horizontal="center" vertical="center" wrapText="1"/>
    </xf>
    <xf numFmtId="0" fontId="7" fillId="0" borderId="102" xfId="11" applyNumberFormat="1" applyFont="1" applyBorder="1" applyAlignment="1">
      <alignment horizontal="center" vertical="center" wrapText="1"/>
    </xf>
    <xf numFmtId="43" fontId="57" fillId="0" borderId="102" xfId="0" applyNumberFormat="1" applyFont="1" applyBorder="1" applyAlignment="1">
      <alignment horizontal="center" vertical="center" wrapText="1"/>
    </xf>
    <xf numFmtId="43" fontId="7" fillId="0" borderId="102" xfId="0" applyNumberFormat="1" applyFont="1" applyFill="1" applyBorder="1" applyAlignment="1">
      <alignment horizontal="center" vertical="center" wrapText="1"/>
    </xf>
    <xf numFmtId="167" fontId="7" fillId="0" borderId="102" xfId="11" applyNumberFormat="1" applyFont="1" applyBorder="1" applyAlignment="1">
      <alignment horizontal="center" vertical="center" wrapText="1"/>
    </xf>
    <xf numFmtId="0" fontId="7" fillId="3" borderId="102" xfId="11" applyNumberFormat="1" applyFont="1" applyFill="1" applyBorder="1" applyAlignment="1">
      <alignment horizontal="center" vertical="center" wrapText="1"/>
    </xf>
    <xf numFmtId="43" fontId="7" fillId="3" borderId="102" xfId="0" applyNumberFormat="1" applyFont="1" applyFill="1" applyBorder="1" applyAlignment="1">
      <alignment horizontal="center" vertical="center" wrapText="1"/>
    </xf>
    <xf numFmtId="167" fontId="7" fillId="3" borderId="102" xfId="11" applyNumberFormat="1" applyFont="1" applyFill="1" applyBorder="1" applyAlignment="1">
      <alignment horizontal="center" vertical="center" wrapText="1"/>
    </xf>
    <xf numFmtId="0" fontId="7" fillId="3" borderId="102" xfId="0" applyNumberFormat="1" applyFont="1" applyFill="1" applyBorder="1" applyAlignment="1">
      <alignment horizontal="center" vertical="center" wrapText="1"/>
    </xf>
    <xf numFmtId="0" fontId="54" fillId="3" borderId="102" xfId="0" applyNumberFormat="1" applyFont="1" applyFill="1" applyBorder="1" applyAlignment="1">
      <alignment horizontal="center" vertical="center" wrapText="1"/>
    </xf>
    <xf numFmtId="43" fontId="54" fillId="3" borderId="102" xfId="0" applyNumberFormat="1" applyFont="1" applyFill="1" applyBorder="1" applyAlignment="1">
      <alignment horizontal="center" vertical="center" wrapText="1"/>
    </xf>
    <xf numFmtId="167" fontId="54" fillId="3" borderId="102" xfId="11" applyNumberFormat="1" applyFont="1" applyFill="1" applyBorder="1" applyAlignment="1">
      <alignment horizontal="center" vertical="center" wrapText="1"/>
    </xf>
    <xf numFmtId="0" fontId="54" fillId="0" borderId="102" xfId="11" applyNumberFormat="1" applyFont="1" applyFill="1" applyBorder="1" applyAlignment="1">
      <alignment horizontal="center" vertical="center" wrapText="1"/>
    </xf>
    <xf numFmtId="43" fontId="56" fillId="0" borderId="102" xfId="8" applyNumberFormat="1" applyFont="1" applyFill="1" applyBorder="1" applyAlignment="1">
      <alignment horizontal="center" vertical="center" wrapText="1"/>
    </xf>
    <xf numFmtId="0" fontId="54" fillId="0" borderId="102" xfId="12" applyNumberFormat="1" applyFont="1" applyFill="1" applyBorder="1" applyAlignment="1">
      <alignment horizontal="center" vertical="center" wrapText="1"/>
    </xf>
    <xf numFmtId="0" fontId="54" fillId="3" borderId="102" xfId="12" applyNumberFormat="1" applyFont="1" applyFill="1" applyBorder="1" applyAlignment="1">
      <alignment horizontal="center" vertical="center" wrapText="1"/>
    </xf>
    <xf numFmtId="43" fontId="54" fillId="3" borderId="102" xfId="8" applyNumberFormat="1" applyFont="1" applyFill="1" applyBorder="1" applyAlignment="1">
      <alignment horizontal="center" vertical="center" wrapText="1"/>
    </xf>
    <xf numFmtId="167" fontId="54" fillId="3" borderId="102" xfId="8" applyNumberFormat="1" applyFont="1" applyFill="1" applyBorder="1" applyAlignment="1">
      <alignment horizontal="center" vertical="center" wrapText="1"/>
    </xf>
    <xf numFmtId="43" fontId="54" fillId="0" borderId="102" xfId="0" applyNumberFormat="1" applyFont="1" applyFill="1" applyBorder="1" applyAlignment="1">
      <alignment horizontal="center" vertical="center" wrapText="1"/>
    </xf>
    <xf numFmtId="167" fontId="54" fillId="0" borderId="102" xfId="0" applyNumberFormat="1" applyFont="1" applyFill="1" applyBorder="1" applyAlignment="1">
      <alignment horizontal="center" vertical="center" wrapText="1"/>
    </xf>
    <xf numFmtId="0" fontId="55" fillId="0" borderId="102" xfId="11" applyNumberFormat="1" applyFont="1" applyBorder="1" applyAlignment="1">
      <alignment horizontal="center" vertical="center" wrapText="1"/>
    </xf>
    <xf numFmtId="167" fontId="55" fillId="0" borderId="102" xfId="8" applyNumberFormat="1" applyFont="1" applyBorder="1" applyAlignment="1">
      <alignment horizontal="center" vertical="center" wrapText="1"/>
    </xf>
    <xf numFmtId="41" fontId="54" fillId="0" borderId="102" xfId="12" applyFont="1" applyBorder="1" applyAlignment="1">
      <alignment horizontal="center" vertical="center" wrapText="1"/>
    </xf>
    <xf numFmtId="41" fontId="54" fillId="0" borderId="102" xfId="12" applyFont="1" applyFill="1" applyBorder="1" applyAlignment="1">
      <alignment horizontal="center" vertical="center" wrapText="1"/>
    </xf>
    <xf numFmtId="0" fontId="54" fillId="0" borderId="102" xfId="0" applyNumberFormat="1" applyFont="1" applyFill="1" applyBorder="1" applyAlignment="1">
      <alignment horizontal="center" vertical="center" wrapText="1"/>
    </xf>
    <xf numFmtId="167" fontId="7" fillId="0" borderId="102" xfId="0" applyNumberFormat="1" applyFont="1" applyFill="1" applyBorder="1" applyAlignment="1">
      <alignment horizontal="center" vertical="center" wrapText="1"/>
    </xf>
    <xf numFmtId="0" fontId="7" fillId="0" borderId="102" xfId="11" applyNumberFormat="1" applyFont="1" applyFill="1" applyBorder="1" applyAlignment="1">
      <alignment horizontal="center" vertical="center" wrapText="1"/>
    </xf>
    <xf numFmtId="0" fontId="54" fillId="0" borderId="102" xfId="12" applyNumberFormat="1" applyFont="1" applyBorder="1" applyAlignment="1">
      <alignment horizontal="center" vertical="center" wrapText="1"/>
    </xf>
    <xf numFmtId="43" fontId="54" fillId="0" borderId="102" xfId="0" applyNumberFormat="1" applyFont="1" applyBorder="1" applyAlignment="1">
      <alignment horizontal="center" vertical="center" wrapText="1"/>
    </xf>
    <xf numFmtId="167" fontId="54" fillId="0" borderId="102" xfId="0" applyNumberFormat="1" applyFont="1" applyBorder="1" applyAlignment="1">
      <alignment horizontal="center" vertical="center" wrapText="1"/>
    </xf>
    <xf numFmtId="167" fontId="54" fillId="0" borderId="102" xfId="8" applyNumberFormat="1" applyFont="1" applyBorder="1" applyAlignment="1">
      <alignment horizontal="center" vertical="center" wrapText="1"/>
    </xf>
    <xf numFmtId="43" fontId="57" fillId="0" borderId="102" xfId="0" applyNumberFormat="1" applyFont="1" applyFill="1" applyBorder="1" applyAlignment="1">
      <alignment horizontal="center" vertical="center" wrapText="1"/>
    </xf>
    <xf numFmtId="167" fontId="7" fillId="3" borderId="102"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5" fillId="0" borderId="45" xfId="0" applyNumberFormat="1" applyFont="1" applyBorder="1" applyAlignment="1">
      <alignment horizontal="center" vertical="center" wrapText="1"/>
    </xf>
    <xf numFmtId="0" fontId="7" fillId="0" borderId="102" xfId="0" applyFont="1" applyBorder="1" applyAlignment="1">
      <alignment horizontal="center" wrapText="1"/>
    </xf>
    <xf numFmtId="43" fontId="54" fillId="0" borderId="162" xfId="8" applyNumberFormat="1" applyFont="1" applyFill="1" applyBorder="1" applyAlignment="1">
      <alignment horizontal="center" vertical="center" wrapText="1"/>
    </xf>
    <xf numFmtId="0" fontId="7" fillId="3" borderId="162" xfId="0" applyNumberFormat="1" applyFont="1" applyFill="1" applyBorder="1" applyAlignment="1">
      <alignment horizontal="center" vertical="center" wrapText="1"/>
    </xf>
    <xf numFmtId="43" fontId="7" fillId="0" borderId="162" xfId="0" applyNumberFormat="1" applyFont="1" applyFill="1" applyBorder="1" applyAlignment="1">
      <alignment horizontal="center" vertical="center" wrapText="1"/>
    </xf>
    <xf numFmtId="0" fontId="7" fillId="0" borderId="162" xfId="11" applyNumberFormat="1" applyFont="1" applyFill="1" applyBorder="1" applyAlignment="1">
      <alignment horizontal="center" vertical="center" wrapText="1"/>
    </xf>
    <xf numFmtId="43" fontId="7" fillId="0" borderId="102" xfId="0" applyNumberFormat="1" applyFont="1" applyFill="1" applyBorder="1" applyAlignment="1">
      <alignment horizontal="center" wrapText="1"/>
    </xf>
    <xf numFmtId="0" fontId="7" fillId="0" borderId="162" xfId="12" applyNumberFormat="1" applyFont="1" applyBorder="1" applyAlignment="1">
      <alignment horizontal="center" vertical="center" wrapText="1"/>
    </xf>
    <xf numFmtId="0" fontId="54" fillId="0" borderId="162" xfId="11" applyNumberFormat="1" applyFont="1" applyFill="1" applyBorder="1" applyAlignment="1">
      <alignment horizontal="center" vertical="center" wrapText="1"/>
    </xf>
    <xf numFmtId="0" fontId="7" fillId="0" borderId="164" xfId="0" quotePrefix="1" applyFont="1" applyBorder="1" applyAlignment="1">
      <alignment horizontal="center" vertical="center" wrapText="1"/>
    </xf>
    <xf numFmtId="0" fontId="7" fillId="0" borderId="164" xfId="0" applyFont="1" applyBorder="1" applyAlignment="1">
      <alignment horizontal="center" vertical="center" wrapText="1"/>
    </xf>
    <xf numFmtId="0" fontId="5" fillId="0" borderId="102" xfId="0" applyFont="1" applyBorder="1" applyAlignment="1">
      <alignment vertical="center"/>
    </xf>
    <xf numFmtId="167" fontId="5" fillId="0" borderId="162" xfId="0" applyNumberFormat="1" applyFont="1" applyFill="1" applyBorder="1" applyAlignment="1">
      <alignment horizontal="center" vertical="center" wrapText="1"/>
    </xf>
    <xf numFmtId="43" fontId="5" fillId="0" borderId="162" xfId="0" applyNumberFormat="1" applyFont="1" applyFill="1" applyBorder="1" applyAlignment="1">
      <alignment horizontal="center" vertical="center" wrapText="1"/>
    </xf>
    <xf numFmtId="167" fontId="5" fillId="0" borderId="102"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41" fontId="0" fillId="0" borderId="12" xfId="2" applyFont="1" applyBorder="1" applyAlignment="1">
      <alignment horizontal="right" vertical="center"/>
    </xf>
    <xf numFmtId="0" fontId="1" fillId="0" borderId="43" xfId="0" quotePrefix="1" applyFont="1" applyBorder="1" applyAlignment="1">
      <alignment horizontal="left" vertical="center"/>
    </xf>
    <xf numFmtId="0" fontId="24" fillId="0" borderId="10" xfId="0" quotePrefix="1" applyFont="1" applyBorder="1" applyAlignment="1">
      <alignment horizontal="center" vertical="center" wrapText="1"/>
    </xf>
    <xf numFmtId="0" fontId="5" fillId="0" borderId="12" xfId="0" applyFont="1" applyBorder="1" applyAlignment="1">
      <alignment vertical="center" wrapText="1"/>
    </xf>
    <xf numFmtId="0" fontId="5" fillId="0" borderId="44" xfId="0" applyFont="1" applyBorder="1" applyAlignment="1">
      <alignment horizontal="center" vertical="center" wrapText="1"/>
    </xf>
    <xf numFmtId="0" fontId="7" fillId="0" borderId="11" xfId="11" applyNumberFormat="1" applyFont="1" applyBorder="1" applyAlignment="1">
      <alignment horizontal="center" vertical="center" wrapText="1"/>
    </xf>
    <xf numFmtId="0" fontId="54" fillId="0" borderId="10" xfId="8" quotePrefix="1" applyFont="1" applyBorder="1" applyAlignment="1">
      <alignment horizontal="center" vertical="center" wrapText="1"/>
    </xf>
    <xf numFmtId="0" fontId="54" fillId="0" borderId="10" xfId="8" applyFont="1" applyBorder="1" applyAlignment="1">
      <alignment horizontal="center" vertical="center" wrapText="1"/>
    </xf>
    <xf numFmtId="0" fontId="55" fillId="0" borderId="50" xfId="8" applyFont="1" applyBorder="1" applyAlignment="1">
      <alignment vertical="center" wrapText="1"/>
    </xf>
    <xf numFmtId="43" fontId="56" fillId="0" borderId="10" xfId="8" applyNumberFormat="1" applyFont="1" applyBorder="1" applyAlignment="1">
      <alignment horizontal="center" vertical="center" wrapText="1"/>
    </xf>
    <xf numFmtId="43" fontId="54" fillId="0" borderId="11" xfId="8" applyNumberFormat="1" applyFont="1" applyFill="1" applyBorder="1" applyAlignment="1">
      <alignment horizontal="center" vertical="center" wrapText="1"/>
    </xf>
    <xf numFmtId="0" fontId="54" fillId="0" borderId="10" xfId="8" quotePrefix="1" applyFont="1" applyBorder="1" applyAlignment="1">
      <alignment vertical="center" wrapText="1"/>
    </xf>
    <xf numFmtId="0" fontId="54" fillId="0" borderId="46" xfId="8" applyFont="1" applyBorder="1" applyAlignment="1">
      <alignment horizontal="center" vertical="center" wrapText="1"/>
    </xf>
    <xf numFmtId="0" fontId="54" fillId="0" borderId="46" xfId="8" quotePrefix="1" applyFont="1" applyBorder="1" applyAlignment="1">
      <alignment horizontal="center" vertical="center" wrapText="1"/>
    </xf>
    <xf numFmtId="0" fontId="5" fillId="0" borderId="50" xfId="0" applyFont="1" applyBorder="1" applyAlignment="1">
      <alignment vertical="center"/>
    </xf>
    <xf numFmtId="43" fontId="54" fillId="0" borderId="11" xfId="0" applyNumberFormat="1" applyFont="1" applyFill="1" applyBorder="1" applyAlignment="1">
      <alignment horizontal="center" vertical="center" wrapText="1"/>
    </xf>
    <xf numFmtId="167" fontId="54" fillId="0" borderId="12" xfId="11" applyNumberFormat="1" applyFont="1" applyBorder="1" applyAlignment="1">
      <alignment horizontal="center" vertical="center" wrapText="1"/>
    </xf>
    <xf numFmtId="0" fontId="7" fillId="3" borderId="12" xfId="0" quotePrefix="1" applyFont="1" applyFill="1" applyBorder="1" applyAlignment="1">
      <alignment horizontal="left" vertical="center" wrapText="1"/>
    </xf>
    <xf numFmtId="167" fontId="7" fillId="3" borderId="12" xfId="11" applyNumberFormat="1" applyFont="1" applyFill="1" applyBorder="1" applyAlignment="1">
      <alignment horizontal="center" vertical="center" wrapText="1"/>
    </xf>
    <xf numFmtId="0" fontId="7" fillId="3" borderId="50" xfId="0" quotePrefix="1" applyFont="1" applyFill="1" applyBorder="1" applyAlignment="1">
      <alignment horizontal="left" vertical="center" wrapText="1"/>
    </xf>
    <xf numFmtId="167" fontId="7" fillId="0" borderId="12" xfId="11" applyNumberFormat="1" applyFont="1" applyBorder="1" applyAlignment="1">
      <alignment horizontal="center" vertical="center" wrapText="1"/>
    </xf>
    <xf numFmtId="0" fontId="7" fillId="3" borderId="44" xfId="0" quotePrefix="1" applyFont="1" applyFill="1" applyBorder="1" applyAlignment="1">
      <alignment vertical="center" wrapText="1"/>
    </xf>
    <xf numFmtId="0" fontId="7" fillId="3" borderId="45" xfId="12" applyNumberFormat="1" applyFont="1" applyFill="1" applyBorder="1" applyAlignment="1">
      <alignment horizontal="center" vertical="center" wrapText="1"/>
    </xf>
    <xf numFmtId="43" fontId="7" fillId="3" borderId="45" xfId="0" applyNumberFormat="1" applyFont="1" applyFill="1" applyBorder="1" applyAlignment="1">
      <alignment horizontal="center" vertical="center" wrapText="1"/>
    </xf>
    <xf numFmtId="167" fontId="7" fillId="3" borderId="44" xfId="0" applyNumberFormat="1" applyFont="1" applyFill="1" applyBorder="1" applyAlignment="1">
      <alignment horizontal="center" vertical="center" wrapText="1"/>
    </xf>
    <xf numFmtId="43" fontId="57" fillId="0" borderId="11" xfId="0" applyNumberFormat="1" applyFont="1" applyFill="1" applyBorder="1" applyAlignment="1">
      <alignment horizontal="center" vertical="center" wrapText="1"/>
    </xf>
    <xf numFmtId="0" fontId="54" fillId="0" borderId="11" xfId="11" applyNumberFormat="1" applyFont="1" applyFill="1" applyBorder="1" applyAlignment="1">
      <alignment horizontal="center" vertical="center" wrapText="1"/>
    </xf>
    <xf numFmtId="43" fontId="54" fillId="0" borderId="12" xfId="0" applyNumberFormat="1" applyFont="1" applyFill="1" applyBorder="1" applyAlignment="1">
      <alignment horizontal="center" vertical="center" wrapText="1"/>
    </xf>
    <xf numFmtId="0" fontId="7" fillId="0" borderId="163" xfId="12" applyNumberFormat="1" applyFont="1" applyBorder="1" applyAlignment="1">
      <alignment horizontal="center" vertical="center" wrapText="1"/>
    </xf>
    <xf numFmtId="167" fontId="7" fillId="0" borderId="177" xfId="0" applyNumberFormat="1" applyFont="1" applyBorder="1" applyAlignment="1">
      <alignment horizontal="center" vertical="center" wrapText="1"/>
    </xf>
    <xf numFmtId="0" fontId="7" fillId="0" borderId="163" xfId="11" applyNumberFormat="1" applyFont="1" applyFill="1" applyBorder="1" applyAlignment="1">
      <alignment horizontal="center" vertical="center" wrapText="1"/>
    </xf>
    <xf numFmtId="43" fontId="7" fillId="0" borderId="163" xfId="0" applyNumberFormat="1" applyFont="1" applyFill="1" applyBorder="1" applyAlignment="1">
      <alignment horizontal="center" vertical="center" wrapText="1"/>
    </xf>
    <xf numFmtId="167" fontId="7" fillId="0" borderId="177" xfId="0" applyNumberFormat="1" applyFont="1" applyFill="1" applyBorder="1" applyAlignment="1">
      <alignment horizontal="center" vertical="center" wrapText="1"/>
    </xf>
    <xf numFmtId="0" fontId="7" fillId="0" borderId="63" xfId="0" applyFont="1" applyBorder="1" applyAlignment="1">
      <alignment horizontal="center" vertical="center" wrapText="1"/>
    </xf>
    <xf numFmtId="0" fontId="7" fillId="0" borderId="33" xfId="0" quotePrefix="1" applyFont="1" applyBorder="1" applyAlignment="1">
      <alignment horizontal="center" vertical="center" wrapText="1"/>
    </xf>
    <xf numFmtId="0" fontId="7" fillId="0" borderId="33" xfId="0" quotePrefix="1" applyFont="1" applyBorder="1" applyAlignment="1">
      <alignment vertical="center" wrapText="1"/>
    </xf>
    <xf numFmtId="0" fontId="7" fillId="0" borderId="33" xfId="0" applyFont="1" applyBorder="1" applyAlignment="1">
      <alignment horizontal="center" vertical="center" wrapText="1"/>
    </xf>
    <xf numFmtId="37" fontId="7" fillId="0" borderId="11" xfId="1" applyNumberFormat="1" applyFont="1" applyBorder="1" applyAlignment="1">
      <alignment horizontal="center" vertical="center" wrapText="1"/>
    </xf>
    <xf numFmtId="3" fontId="7" fillId="0" borderId="52" xfId="1" applyNumberFormat="1" applyFont="1" applyBorder="1" applyAlignment="1">
      <alignment horizontal="center" vertical="center" wrapText="1"/>
    </xf>
    <xf numFmtId="43" fontId="54" fillId="0" borderId="10" xfId="0" applyNumberFormat="1" applyFont="1" applyFill="1" applyBorder="1" applyAlignment="1">
      <alignment horizontal="center" vertical="center" wrapText="1"/>
    </xf>
    <xf numFmtId="0" fontId="54" fillId="0" borderId="26" xfId="8" applyFont="1" applyBorder="1" applyAlignment="1">
      <alignment vertical="center" wrapText="1"/>
    </xf>
    <xf numFmtId="0" fontId="5" fillId="3" borderId="77" xfId="0" applyFont="1" applyFill="1" applyBorder="1" applyAlignment="1">
      <alignment horizontal="center" vertical="center" wrapText="1"/>
    </xf>
    <xf numFmtId="0" fontId="7" fillId="0" borderId="51" xfId="0" applyFont="1" applyBorder="1" applyAlignment="1">
      <alignment vertical="center" wrapText="1"/>
    </xf>
    <xf numFmtId="0" fontId="7" fillId="0" borderId="46" xfId="0" applyFont="1" applyBorder="1" applyAlignment="1">
      <alignment vertical="center" wrapText="1"/>
    </xf>
    <xf numFmtId="167" fontId="7" fillId="0" borderId="11" xfId="4" applyNumberFormat="1" applyFont="1" applyFill="1" applyBorder="1" applyAlignment="1">
      <alignment horizontal="center" vertical="center" wrapText="1"/>
    </xf>
    <xf numFmtId="41" fontId="7" fillId="0" borderId="12" xfId="3" applyFont="1" applyFill="1" applyBorder="1" applyAlignment="1">
      <alignment horizontal="center" vertical="center" wrapText="1"/>
    </xf>
    <xf numFmtId="167" fontId="7" fillId="0" borderId="16" xfId="0" applyNumberFormat="1" applyFont="1" applyFill="1" applyBorder="1" applyAlignment="1">
      <alignment horizontal="center" vertical="center" wrapText="1"/>
    </xf>
    <xf numFmtId="167" fontId="7" fillId="0" borderId="16" xfId="4" applyNumberFormat="1" applyFont="1" applyFill="1" applyBorder="1" applyAlignment="1">
      <alignment horizontal="center" vertical="center" wrapText="1"/>
    </xf>
    <xf numFmtId="43" fontId="7" fillId="0" borderId="16" xfId="0" applyNumberFormat="1" applyFont="1" applyFill="1" applyBorder="1" applyAlignment="1">
      <alignment horizontal="center" vertical="center" wrapText="1"/>
    </xf>
    <xf numFmtId="41" fontId="7" fillId="0" borderId="17" xfId="3" applyFont="1" applyFill="1" applyBorder="1" applyAlignment="1">
      <alignment horizontal="center" vertical="center" wrapText="1"/>
    </xf>
    <xf numFmtId="167" fontId="7" fillId="0" borderId="17" xfId="0" applyNumberFormat="1" applyFont="1" applyBorder="1" applyAlignment="1">
      <alignment vertical="center"/>
    </xf>
    <xf numFmtId="43" fontId="7" fillId="0" borderId="50" xfId="0" applyNumberFormat="1" applyFont="1" applyBorder="1" applyAlignment="1">
      <alignment horizontal="center" vertical="center" wrapText="1"/>
    </xf>
    <xf numFmtId="43" fontId="7" fillId="0" borderId="33" xfId="0" applyNumberFormat="1" applyFont="1" applyBorder="1" applyAlignment="1">
      <alignment horizontal="center" vertical="center" wrapText="1"/>
    </xf>
    <xf numFmtId="43" fontId="7" fillId="0" borderId="162" xfId="0" applyNumberFormat="1" applyFont="1" applyBorder="1" applyAlignment="1">
      <alignment horizontal="center" vertical="center" wrapText="1"/>
    </xf>
    <xf numFmtId="43" fontId="56" fillId="0" borderId="164" xfId="8" applyNumberFormat="1" applyFont="1" applyBorder="1" applyAlignment="1">
      <alignment horizontal="center" vertical="center" wrapText="1"/>
    </xf>
    <xf numFmtId="0" fontId="7" fillId="0" borderId="162" xfId="0" applyFont="1" applyBorder="1" applyAlignment="1">
      <alignment horizontal="center" vertical="center"/>
    </xf>
    <xf numFmtId="167" fontId="7" fillId="0" borderId="164" xfId="0" applyNumberFormat="1" applyFont="1" applyFill="1" applyBorder="1" applyAlignment="1">
      <alignment horizontal="center" vertical="center" wrapText="1"/>
    </xf>
    <xf numFmtId="0" fontId="7" fillId="0" borderId="164" xfId="0" quotePrefix="1" applyFont="1" applyBorder="1" applyAlignment="1">
      <alignment vertical="center" wrapText="1"/>
    </xf>
    <xf numFmtId="43" fontId="57" fillId="0" borderId="162" xfId="0" applyNumberFormat="1" applyFont="1" applyFill="1" applyBorder="1" applyAlignment="1">
      <alignment horizontal="center" vertical="center" wrapText="1"/>
    </xf>
    <xf numFmtId="43" fontId="54" fillId="0" borderId="162" xfId="0" applyNumberFormat="1" applyFont="1" applyFill="1" applyBorder="1" applyAlignment="1">
      <alignment horizontal="center" vertical="center" wrapText="1"/>
    </xf>
    <xf numFmtId="0" fontId="7" fillId="0" borderId="102" xfId="0" quotePrefix="1" applyFont="1" applyBorder="1" applyAlignment="1">
      <alignment vertical="center"/>
    </xf>
    <xf numFmtId="0" fontId="49" fillId="0" borderId="102" xfId="0" applyFont="1" applyBorder="1" applyAlignment="1">
      <alignment vertical="center"/>
    </xf>
    <xf numFmtId="167" fontId="7" fillId="0" borderId="162" xfId="0" applyNumberFormat="1" applyFont="1" applyFill="1" applyBorder="1" applyAlignment="1">
      <alignment horizontal="center" vertical="center" wrapText="1"/>
    </xf>
    <xf numFmtId="0" fontId="54" fillId="3" borderId="102" xfId="0" applyFont="1" applyFill="1" applyBorder="1" applyAlignment="1">
      <alignment vertical="center" wrapText="1"/>
    </xf>
    <xf numFmtId="0" fontId="55" fillId="0" borderId="102" xfId="0" applyFont="1" applyBorder="1" applyAlignment="1">
      <alignment vertical="center" wrapText="1"/>
    </xf>
    <xf numFmtId="0" fontId="7" fillId="0" borderId="198" xfId="0" applyFont="1" applyBorder="1" applyAlignment="1">
      <alignment horizontal="center" vertical="center" wrapText="1"/>
    </xf>
    <xf numFmtId="0" fontId="7" fillId="0" borderId="49" xfId="0" quotePrefix="1" applyFont="1" applyBorder="1" applyAlignment="1">
      <alignment horizontal="center" vertical="center" wrapText="1"/>
    </xf>
    <xf numFmtId="0" fontId="7" fillId="0" borderId="47" xfId="0" quotePrefix="1" applyFont="1" applyBorder="1" applyAlignment="1">
      <alignment vertical="center" wrapText="1"/>
    </xf>
    <xf numFmtId="0" fontId="7" fillId="0" borderId="49" xfId="0" applyFont="1" applyBorder="1" applyAlignment="1">
      <alignment horizontal="center" vertical="center" wrapText="1"/>
    </xf>
    <xf numFmtId="0" fontId="54" fillId="3" borderId="177" xfId="0" quotePrefix="1" applyFont="1" applyFill="1" applyBorder="1" applyAlignment="1">
      <alignment vertical="center" wrapText="1"/>
    </xf>
    <xf numFmtId="0" fontId="54" fillId="3" borderId="50" xfId="0" applyFont="1" applyFill="1" applyBorder="1" applyAlignment="1">
      <alignment vertical="center" wrapText="1"/>
    </xf>
    <xf numFmtId="0" fontId="54" fillId="3" borderId="50" xfId="0" quotePrefix="1" applyFont="1" applyFill="1" applyBorder="1" applyAlignment="1">
      <alignment vertical="center" wrapText="1"/>
    </xf>
    <xf numFmtId="41" fontId="7" fillId="0" borderId="12" xfId="2" applyFont="1" applyBorder="1" applyAlignment="1">
      <alignment horizontal="right" vertical="center"/>
    </xf>
    <xf numFmtId="167" fontId="7" fillId="0" borderId="17" xfId="0" applyNumberFormat="1" applyFont="1" applyFill="1" applyBorder="1" applyAlignment="1">
      <alignment horizontal="center" vertical="center" wrapText="1"/>
    </xf>
    <xf numFmtId="0" fontId="7" fillId="0" borderId="102" xfId="0" quotePrefix="1" applyFont="1" applyBorder="1" applyAlignment="1">
      <alignment horizontal="center" wrapText="1"/>
    </xf>
    <xf numFmtId="167" fontId="7" fillId="0" borderId="161" xfId="0" applyNumberFormat="1" applyFont="1" applyFill="1" applyBorder="1" applyAlignment="1">
      <alignment horizontal="center" wrapText="1"/>
    </xf>
    <xf numFmtId="0" fontId="5" fillId="3" borderId="136" xfId="0" applyFont="1" applyFill="1" applyBorder="1" applyAlignment="1">
      <alignment horizontal="center" vertical="center" wrapText="1"/>
    </xf>
    <xf numFmtId="0" fontId="5" fillId="3" borderId="35" xfId="0" applyFont="1" applyFill="1" applyBorder="1" applyAlignment="1">
      <alignment horizontal="center" vertical="center" wrapText="1"/>
    </xf>
    <xf numFmtId="167" fontId="7" fillId="0" borderId="68" xfId="0" applyNumberFormat="1" applyFont="1" applyBorder="1" applyAlignment="1">
      <alignment horizontal="center" vertical="center"/>
    </xf>
    <xf numFmtId="0" fontId="54" fillId="0" borderId="63" xfId="8" applyFont="1" applyBorder="1" applyAlignment="1">
      <alignment horizontal="center" vertical="center" wrapText="1"/>
    </xf>
    <xf numFmtId="0" fontId="54" fillId="0" borderId="33" xfId="8" applyFont="1" applyBorder="1" applyAlignment="1">
      <alignment horizontal="center" vertical="center" wrapText="1"/>
    </xf>
    <xf numFmtId="0" fontId="54" fillId="0" borderId="51" xfId="8" applyFont="1" applyBorder="1" applyAlignment="1">
      <alignment vertical="center" wrapText="1"/>
    </xf>
    <xf numFmtId="0" fontId="54" fillId="0" borderId="46" xfId="8" applyFont="1" applyBorder="1" applyAlignment="1">
      <alignment vertical="center" wrapText="1"/>
    </xf>
    <xf numFmtId="0" fontId="54" fillId="0" borderId="33" xfId="8" quotePrefix="1" applyFont="1" applyBorder="1" applyAlignment="1">
      <alignment horizontal="center" vertical="center" wrapText="1"/>
    </xf>
    <xf numFmtId="0" fontId="54" fillId="0" borderId="47" xfId="8" quotePrefix="1" applyFont="1" applyFill="1" applyBorder="1" applyAlignment="1">
      <alignment vertical="center" wrapText="1"/>
    </xf>
    <xf numFmtId="167" fontId="54" fillId="0" borderId="11" xfId="11" applyNumberFormat="1" applyFont="1" applyFill="1" applyBorder="1" applyAlignment="1">
      <alignment horizontal="center" vertical="center" wrapText="1"/>
    </xf>
    <xf numFmtId="41" fontId="54" fillId="0" borderId="12" xfId="3" applyFont="1" applyFill="1" applyBorder="1" applyAlignment="1">
      <alignment horizontal="center" vertical="center" wrapText="1"/>
    </xf>
    <xf numFmtId="167" fontId="54" fillId="0" borderId="16" xfId="8" applyNumberFormat="1" applyFont="1" applyFill="1" applyBorder="1" applyAlignment="1">
      <alignment horizontal="center" vertical="center" wrapText="1"/>
    </xf>
    <xf numFmtId="167" fontId="54" fillId="0" borderId="16" xfId="11" applyNumberFormat="1" applyFont="1" applyFill="1" applyBorder="1" applyAlignment="1">
      <alignment horizontal="center" vertical="center" wrapText="1"/>
    </xf>
    <xf numFmtId="43" fontId="54" fillId="0" borderId="16" xfId="8" applyNumberFormat="1" applyFont="1" applyFill="1" applyBorder="1" applyAlignment="1">
      <alignment horizontal="center" vertical="center" wrapText="1"/>
    </xf>
    <xf numFmtId="41" fontId="54" fillId="0" borderId="17" xfId="3" applyFont="1" applyFill="1" applyBorder="1" applyAlignment="1">
      <alignment horizontal="center" vertical="center" wrapText="1"/>
    </xf>
    <xf numFmtId="167" fontId="54" fillId="0" borderId="17" xfId="8" applyNumberFormat="1" applyFont="1" applyFill="1" applyBorder="1" applyAlignment="1">
      <alignment horizontal="center" vertical="center" wrapText="1"/>
    </xf>
    <xf numFmtId="0" fontId="4" fillId="0" borderId="136" xfId="0" applyFont="1" applyBorder="1" applyAlignment="1">
      <alignment horizontal="center" vertical="center"/>
    </xf>
    <xf numFmtId="0" fontId="54" fillId="3" borderId="102" xfId="8" applyNumberFormat="1" applyFont="1" applyFill="1" applyBorder="1" applyAlignment="1">
      <alignment horizontal="center" vertical="center" wrapText="1"/>
    </xf>
    <xf numFmtId="167" fontId="54" fillId="3" borderId="162" xfId="8" applyNumberFormat="1" applyFont="1" applyFill="1" applyBorder="1" applyAlignment="1">
      <alignment horizontal="center" vertical="center" wrapText="1"/>
    </xf>
    <xf numFmtId="0" fontId="54" fillId="3" borderId="163" xfId="8" applyNumberFormat="1" applyFont="1" applyFill="1" applyBorder="1" applyAlignment="1">
      <alignment horizontal="center" vertical="center" wrapText="1"/>
    </xf>
    <xf numFmtId="43" fontId="54" fillId="3" borderId="163" xfId="8" applyNumberFormat="1" applyFont="1" applyFill="1" applyBorder="1" applyAlignment="1">
      <alignment horizontal="center" vertical="center" wrapText="1"/>
    </xf>
    <xf numFmtId="167" fontId="54" fillId="3" borderId="177" xfId="8" applyNumberFormat="1" applyFont="1" applyFill="1" applyBorder="1" applyAlignment="1">
      <alignment horizontal="center" vertical="center" wrapText="1"/>
    </xf>
    <xf numFmtId="167" fontId="54" fillId="3" borderId="0" xfId="8" applyNumberFormat="1" applyFont="1" applyFill="1" applyBorder="1" applyAlignment="1">
      <alignment horizontal="center" vertical="center" wrapText="1"/>
    </xf>
    <xf numFmtId="41" fontId="54" fillId="0" borderId="12" xfId="2" applyFont="1" applyBorder="1" applyAlignment="1">
      <alignment horizontal="center" vertical="center"/>
    </xf>
    <xf numFmtId="41" fontId="54" fillId="0" borderId="12" xfId="2" applyFont="1" applyBorder="1" applyAlignment="1">
      <alignment vertical="center"/>
    </xf>
    <xf numFmtId="167" fontId="54" fillId="0" borderId="43" xfId="0" applyNumberFormat="1" applyFont="1" applyFill="1" applyBorder="1" applyAlignment="1">
      <alignment horizontal="center" vertical="center" wrapText="1"/>
    </xf>
    <xf numFmtId="41" fontId="64" fillId="0" borderId="12" xfId="1" applyNumberFormat="1" applyFont="1" applyFill="1" applyBorder="1" applyAlignment="1">
      <alignment vertical="center"/>
    </xf>
    <xf numFmtId="0" fontId="7" fillId="3" borderId="102" xfId="12" applyNumberFormat="1" applyFont="1" applyFill="1" applyBorder="1" applyAlignment="1">
      <alignment horizontal="center" vertical="center" wrapText="1"/>
    </xf>
    <xf numFmtId="167" fontId="54" fillId="0" borderId="102" xfId="11" applyNumberFormat="1" applyFont="1" applyBorder="1" applyAlignment="1">
      <alignment horizontal="center" vertical="center" wrapText="1"/>
    </xf>
    <xf numFmtId="41" fontId="63" fillId="0" borderId="12" xfId="2" applyFont="1" applyBorder="1" applyAlignment="1">
      <alignment horizontal="center" vertical="center"/>
    </xf>
    <xf numFmtId="41" fontId="54" fillId="0" borderId="12" xfId="2" applyFont="1" applyFill="1" applyBorder="1" applyAlignment="1">
      <alignment horizontal="center" vertical="center"/>
    </xf>
    <xf numFmtId="0" fontId="55" fillId="0" borderId="44" xfId="8" applyFont="1" applyBorder="1" applyAlignment="1">
      <alignment horizontal="center" vertical="center" wrapText="1"/>
    </xf>
    <xf numFmtId="0" fontId="55" fillId="0" borderId="94" xfId="8" applyFont="1" applyBorder="1" applyAlignment="1">
      <alignment horizontal="center" vertical="center" wrapText="1"/>
    </xf>
    <xf numFmtId="0" fontId="58" fillId="0" borderId="102" xfId="0" applyFont="1" applyBorder="1" applyAlignment="1">
      <alignment vertical="center"/>
    </xf>
    <xf numFmtId="41" fontId="7" fillId="0" borderId="102" xfId="12" applyFont="1" applyBorder="1" applyAlignment="1">
      <alignment horizontal="center" vertical="center" wrapText="1"/>
    </xf>
    <xf numFmtId="0" fontId="7" fillId="0" borderId="165" xfId="0" applyFont="1" applyBorder="1" applyAlignment="1">
      <alignment horizontal="center" vertical="center" wrapText="1"/>
    </xf>
    <xf numFmtId="0" fontId="7" fillId="0" borderId="165" xfId="0" quotePrefix="1" applyFont="1" applyBorder="1" applyAlignment="1">
      <alignment horizontal="center" vertical="center" wrapText="1"/>
    </xf>
    <xf numFmtId="0" fontId="7" fillId="0" borderId="165" xfId="0" quotePrefix="1" applyFont="1" applyBorder="1" applyAlignment="1">
      <alignment vertical="center" wrapText="1"/>
    </xf>
    <xf numFmtId="0" fontId="7" fillId="0" borderId="166" xfId="0" applyFont="1" applyBorder="1" applyAlignment="1">
      <alignment horizontal="center" vertical="center" wrapText="1"/>
    </xf>
    <xf numFmtId="0" fontId="58" fillId="0" borderId="102" xfId="0" applyFont="1" applyBorder="1" applyAlignment="1">
      <alignment readingOrder="1"/>
    </xf>
    <xf numFmtId="41" fontId="7" fillId="0" borderId="102" xfId="12" applyFont="1" applyBorder="1" applyAlignment="1">
      <alignment horizontal="center" wrapText="1"/>
    </xf>
    <xf numFmtId="167" fontId="7" fillId="0" borderId="8" xfId="0" applyNumberFormat="1" applyFont="1" applyBorder="1" applyAlignment="1">
      <alignment vertical="center"/>
    </xf>
    <xf numFmtId="167" fontId="55" fillId="0" borderId="43" xfId="8" applyNumberFormat="1" applyFont="1" applyBorder="1" applyAlignment="1">
      <alignment horizontal="center" vertical="center" wrapText="1"/>
    </xf>
    <xf numFmtId="167" fontId="54" fillId="0" borderId="43" xfId="8" applyNumberFormat="1" applyFont="1" applyFill="1" applyBorder="1" applyAlignment="1">
      <alignment horizontal="center" vertical="center" wrapText="1"/>
    </xf>
    <xf numFmtId="167" fontId="55" fillId="0" borderId="10" xfId="8" applyNumberFormat="1" applyFont="1" applyBorder="1" applyAlignment="1">
      <alignment horizontal="center" vertical="center" wrapText="1"/>
    </xf>
    <xf numFmtId="167" fontId="5" fillId="0" borderId="102" xfId="0" applyNumberFormat="1" applyFont="1" applyBorder="1" applyAlignment="1">
      <alignment horizontal="center" vertical="center" wrapText="1"/>
    </xf>
    <xf numFmtId="167" fontId="54" fillId="0" borderId="10" xfId="8" applyNumberFormat="1" applyFont="1" applyFill="1" applyBorder="1" applyAlignment="1">
      <alignment horizontal="center" vertical="center" wrapText="1"/>
    </xf>
    <xf numFmtId="167" fontId="54" fillId="0" borderId="9" xfId="0" applyNumberFormat="1" applyFont="1" applyBorder="1" applyAlignment="1">
      <alignment vertical="center"/>
    </xf>
    <xf numFmtId="1" fontId="54" fillId="0" borderId="141" xfId="2" applyNumberFormat="1" applyFont="1" applyBorder="1" applyAlignment="1">
      <alignment horizontal="center" vertical="center"/>
    </xf>
    <xf numFmtId="0" fontId="54" fillId="0" borderId="10" xfId="0" applyFont="1" applyBorder="1" applyAlignment="1">
      <alignment vertical="center"/>
    </xf>
    <xf numFmtId="0" fontId="54" fillId="0" borderId="68" xfId="0" applyFont="1" applyBorder="1" applyAlignment="1">
      <alignment horizontal="center" vertical="center"/>
    </xf>
    <xf numFmtId="167" fontId="54" fillId="0" borderId="10" xfId="0" applyNumberFormat="1" applyFont="1" applyBorder="1" applyAlignment="1">
      <alignment vertical="center"/>
    </xf>
    <xf numFmtId="2" fontId="54" fillId="0" borderId="68" xfId="0" applyNumberFormat="1" applyFont="1" applyBorder="1" applyAlignment="1">
      <alignment horizontal="center" vertical="center"/>
    </xf>
    <xf numFmtId="167" fontId="54" fillId="0" borderId="102" xfId="11" applyNumberFormat="1" applyFont="1" applyFill="1" applyBorder="1" applyAlignment="1">
      <alignment horizontal="center" vertical="center" wrapText="1"/>
    </xf>
    <xf numFmtId="0" fontId="54" fillId="3" borderId="102" xfId="11" applyNumberFormat="1" applyFont="1" applyFill="1" applyBorder="1" applyAlignment="1">
      <alignment horizontal="center" vertical="center" wrapText="1"/>
    </xf>
    <xf numFmtId="167" fontId="54" fillId="3" borderId="162" xfId="11" applyNumberFormat="1" applyFont="1" applyFill="1" applyBorder="1" applyAlignment="1">
      <alignment horizontal="center" vertical="center" wrapText="1"/>
    </xf>
    <xf numFmtId="167" fontId="55" fillId="0" borderId="102" xfId="11" applyNumberFormat="1" applyFont="1" applyFill="1" applyBorder="1" applyAlignment="1">
      <alignment horizontal="center" vertical="center" wrapText="1"/>
    </xf>
    <xf numFmtId="167" fontId="54" fillId="0" borderId="33" xfId="0" applyNumberFormat="1" applyFont="1" applyBorder="1" applyAlignment="1">
      <alignment vertical="center"/>
    </xf>
    <xf numFmtId="0" fontId="54" fillId="0" borderId="103" xfId="0" applyFont="1" applyBorder="1" applyAlignment="1">
      <alignment horizontal="center" vertical="center"/>
    </xf>
    <xf numFmtId="167" fontId="54" fillId="0" borderId="49" xfId="0" applyNumberFormat="1" applyFont="1" applyBorder="1" applyAlignment="1">
      <alignment vertical="center"/>
    </xf>
    <xf numFmtId="0" fontId="54" fillId="0" borderId="84" xfId="0" applyFont="1" applyBorder="1" applyAlignment="1">
      <alignment horizontal="center" vertical="center"/>
    </xf>
    <xf numFmtId="167" fontId="54" fillId="3" borderId="102" xfId="0" applyNumberFormat="1" applyFont="1" applyFill="1" applyBorder="1" applyAlignment="1">
      <alignment horizontal="center" vertical="center" wrapText="1"/>
    </xf>
    <xf numFmtId="0" fontId="54" fillId="0" borderId="11" xfId="0" applyFont="1" applyBorder="1" applyAlignment="1">
      <alignment horizontal="center" vertical="center"/>
    </xf>
    <xf numFmtId="0" fontId="54" fillId="0" borderId="46" xfId="0" applyFont="1" applyBorder="1" applyAlignment="1">
      <alignment vertical="center"/>
    </xf>
    <xf numFmtId="0" fontId="54" fillId="0" borderId="163" xfId="0" applyFont="1" applyBorder="1" applyAlignment="1">
      <alignment horizontal="center" vertical="center"/>
    </xf>
    <xf numFmtId="0" fontId="54" fillId="0" borderId="163" xfId="11" applyNumberFormat="1" applyFont="1" applyFill="1" applyBorder="1" applyAlignment="1">
      <alignment horizontal="center" vertical="center" wrapText="1"/>
    </xf>
    <xf numFmtId="167" fontId="54" fillId="0" borderId="10" xfId="0" applyNumberFormat="1" applyFont="1" applyFill="1" applyBorder="1" applyAlignment="1">
      <alignment horizontal="center" vertical="center" wrapText="1"/>
    </xf>
    <xf numFmtId="2" fontId="54" fillId="0" borderId="84" xfId="0" applyNumberFormat="1" applyFont="1" applyBorder="1" applyAlignment="1">
      <alignment horizontal="center" vertical="center"/>
    </xf>
    <xf numFmtId="167" fontId="54" fillId="0" borderId="43" xfId="0" applyNumberFormat="1" applyFont="1" applyBorder="1" applyAlignment="1">
      <alignment horizontal="center" vertical="center" wrapText="1"/>
    </xf>
    <xf numFmtId="167" fontId="54" fillId="0" borderId="46" xfId="0" applyNumberFormat="1" applyFont="1" applyBorder="1" applyAlignment="1">
      <alignment vertical="center"/>
    </xf>
    <xf numFmtId="2" fontId="54" fillId="0" borderId="52" xfId="0" applyNumberFormat="1" applyFont="1" applyBorder="1" applyAlignment="1">
      <alignment horizontal="center" vertical="center"/>
    </xf>
    <xf numFmtId="0" fontId="7" fillId="0" borderId="12" xfId="13" applyFont="1" applyBorder="1" applyAlignment="1">
      <alignment horizontal="center" vertical="center"/>
    </xf>
    <xf numFmtId="43" fontId="7" fillId="0" borderId="11" xfId="13" applyNumberFormat="1" applyFont="1" applyFill="1" applyBorder="1" applyAlignment="1">
      <alignment horizontal="center" vertical="center" wrapText="1"/>
    </xf>
    <xf numFmtId="167" fontId="7" fillId="0" borderId="12" xfId="13" applyNumberFormat="1" applyFont="1" applyFill="1" applyBorder="1" applyAlignment="1">
      <alignment horizontal="center" vertical="center" wrapText="1"/>
    </xf>
    <xf numFmtId="43" fontId="54" fillId="3" borderId="11" xfId="13" applyNumberFormat="1" applyFont="1" applyFill="1" applyBorder="1" applyAlignment="1">
      <alignment horizontal="center" vertical="center" wrapText="1"/>
    </xf>
    <xf numFmtId="167" fontId="54" fillId="3" borderId="12" xfId="13" applyNumberFormat="1" applyFont="1" applyFill="1" applyBorder="1" applyAlignment="1">
      <alignment horizontal="center" vertical="center" wrapText="1"/>
    </xf>
    <xf numFmtId="0" fontId="54" fillId="3" borderId="102" xfId="13" quotePrefix="1" applyFont="1" applyFill="1" applyBorder="1" applyAlignment="1">
      <alignment horizontal="left" vertical="center" wrapText="1"/>
    </xf>
    <xf numFmtId="0" fontId="62" fillId="0" borderId="108" xfId="13" applyFont="1" applyBorder="1" applyAlignment="1">
      <alignment horizontal="center" vertical="center" wrapText="1"/>
    </xf>
    <xf numFmtId="0" fontId="62" fillId="0" borderId="46" xfId="13" quotePrefix="1" applyFont="1" applyBorder="1" applyAlignment="1">
      <alignment horizontal="center" vertical="center" wrapText="1"/>
    </xf>
    <xf numFmtId="0" fontId="62" fillId="0" borderId="46" xfId="13" quotePrefix="1" applyFont="1" applyBorder="1" applyAlignment="1">
      <alignment vertical="center" wrapText="1"/>
    </xf>
    <xf numFmtId="0" fontId="62" fillId="0" borderId="46" xfId="13" applyFont="1" applyBorder="1" applyAlignment="1">
      <alignment horizontal="center" vertical="center" wrapText="1"/>
    </xf>
    <xf numFmtId="0" fontId="62" fillId="0" borderId="163" xfId="13" applyNumberFormat="1" applyFont="1" applyFill="1" applyBorder="1" applyAlignment="1">
      <alignment horizontal="center" vertical="center" wrapText="1"/>
    </xf>
    <xf numFmtId="43" fontId="62" fillId="0" borderId="163" xfId="13" applyNumberFormat="1" applyFont="1" applyFill="1" applyBorder="1" applyAlignment="1">
      <alignment horizontal="center" vertical="center" wrapText="1"/>
    </xf>
    <xf numFmtId="167" fontId="62" fillId="0" borderId="177" xfId="13" applyNumberFormat="1" applyFont="1" applyFill="1" applyBorder="1" applyAlignment="1">
      <alignment horizontal="center" vertical="center" wrapText="1"/>
    </xf>
    <xf numFmtId="0" fontId="54" fillId="0" borderId="12" xfId="13" applyFont="1" applyBorder="1" applyAlignment="1">
      <alignment horizontal="center" vertical="center"/>
    </xf>
    <xf numFmtId="167" fontId="5" fillId="0" borderId="43" xfId="13" applyNumberFormat="1" applyFont="1" applyFill="1" applyBorder="1" applyAlignment="1">
      <alignment horizontal="center" vertical="center" wrapText="1"/>
    </xf>
    <xf numFmtId="167" fontId="7" fillId="0" borderId="43" xfId="13" applyNumberFormat="1" applyFont="1" applyFill="1" applyBorder="1" applyAlignment="1">
      <alignment horizontal="center" vertical="center" wrapText="1"/>
    </xf>
    <xf numFmtId="0" fontId="51" fillId="0" borderId="12" xfId="13" quotePrefix="1" applyFont="1" applyFill="1" applyBorder="1" applyAlignment="1">
      <alignment horizontal="center" vertical="center" wrapText="1"/>
    </xf>
    <xf numFmtId="43" fontId="5" fillId="0" borderId="11" xfId="13" applyNumberFormat="1" applyFont="1" applyFill="1" applyBorder="1" applyAlignment="1">
      <alignment horizontal="center" vertical="center" wrapText="1"/>
    </xf>
    <xf numFmtId="167" fontId="5" fillId="0" borderId="12" xfId="13" applyNumberFormat="1" applyFont="1" applyFill="1" applyBorder="1" applyAlignment="1">
      <alignment horizontal="center" vertical="center" wrapText="1"/>
    </xf>
    <xf numFmtId="43" fontId="7" fillId="0" borderId="163" xfId="13" applyNumberFormat="1" applyFont="1" applyFill="1" applyBorder="1" applyAlignment="1">
      <alignment horizontal="center" vertical="center" wrapText="1"/>
    </xf>
    <xf numFmtId="167" fontId="7" fillId="0" borderId="177" xfId="13" applyNumberFormat="1" applyFont="1" applyFill="1" applyBorder="1" applyAlignment="1">
      <alignment horizontal="center" vertical="center" wrapText="1"/>
    </xf>
    <xf numFmtId="167" fontId="62" fillId="0" borderId="0" xfId="13" applyNumberFormat="1" applyFont="1" applyFill="1" applyBorder="1" applyAlignment="1">
      <alignment horizontal="center" vertical="center" wrapText="1"/>
    </xf>
    <xf numFmtId="167" fontId="7" fillId="0" borderId="10" xfId="13" applyNumberFormat="1" applyFont="1" applyFill="1" applyBorder="1" applyAlignment="1">
      <alignment horizontal="center" vertical="center" wrapText="1"/>
    </xf>
    <xf numFmtId="167" fontId="54" fillId="3" borderId="10" xfId="13" applyNumberFormat="1" applyFont="1" applyFill="1" applyBorder="1" applyAlignment="1">
      <alignment horizontal="center" vertical="center" wrapText="1"/>
    </xf>
    <xf numFmtId="167" fontId="54" fillId="3" borderId="46" xfId="8" applyNumberFormat="1" applyFont="1" applyFill="1" applyBorder="1" applyAlignment="1">
      <alignment horizontal="center" vertical="center" wrapText="1"/>
    </xf>
    <xf numFmtId="167" fontId="5" fillId="0" borderId="10" xfId="13" applyNumberFormat="1" applyFont="1" applyFill="1" applyBorder="1" applyAlignment="1">
      <alignment horizontal="center" vertical="center" wrapText="1"/>
    </xf>
    <xf numFmtId="167" fontId="7" fillId="0" borderId="46" xfId="13" applyNumberFormat="1" applyFont="1" applyFill="1" applyBorder="1" applyAlignment="1">
      <alignment horizontal="center" vertical="center" wrapText="1"/>
    </xf>
    <xf numFmtId="167" fontId="5" fillId="3" borderId="10" xfId="13" applyNumberFormat="1" applyFont="1" applyFill="1" applyBorder="1" applyAlignment="1">
      <alignment horizontal="center" vertical="center" wrapText="1"/>
    </xf>
    <xf numFmtId="167" fontId="7" fillId="3" borderId="33" xfId="13" applyNumberFormat="1" applyFont="1" applyFill="1" applyBorder="1" applyAlignment="1">
      <alignment horizontal="center" vertical="center" wrapText="1"/>
    </xf>
    <xf numFmtId="0" fontId="7" fillId="0" borderId="15" xfId="13" applyFont="1" applyBorder="1" applyAlignment="1">
      <alignment vertical="center" wrapText="1"/>
    </xf>
    <xf numFmtId="0" fontId="7" fillId="0" borderId="9" xfId="13" applyFont="1" applyBorder="1" applyAlignment="1">
      <alignment horizontal="center" vertical="center" wrapText="1"/>
    </xf>
    <xf numFmtId="0" fontId="5" fillId="0" borderId="14" xfId="13" applyFont="1" applyBorder="1" applyAlignment="1">
      <alignment horizontal="center" vertical="center" wrapText="1"/>
    </xf>
    <xf numFmtId="0" fontId="5" fillId="0" borderId="15" xfId="13" applyFont="1" applyBorder="1" applyAlignment="1">
      <alignment horizontal="center" vertical="center" wrapText="1"/>
    </xf>
    <xf numFmtId="0" fontId="49" fillId="0" borderId="12" xfId="13" applyFont="1" applyBorder="1" applyAlignment="1">
      <alignment vertical="center"/>
    </xf>
    <xf numFmtId="167" fontId="5" fillId="0" borderId="43" xfId="13" applyNumberFormat="1" applyFont="1" applyBorder="1" applyAlignment="1">
      <alignment horizontal="center" vertical="center" wrapText="1"/>
    </xf>
    <xf numFmtId="167" fontId="7" fillId="0" borderId="10" xfId="13" applyNumberFormat="1" applyFont="1" applyBorder="1" applyAlignment="1">
      <alignment horizontal="center" vertical="center" wrapText="1"/>
    </xf>
    <xf numFmtId="0" fontId="5" fillId="0" borderId="10" xfId="13" applyFont="1" applyBorder="1" applyAlignment="1">
      <alignment horizontal="center" vertical="center" wrapText="1"/>
    </xf>
    <xf numFmtId="43" fontId="7" fillId="0" borderId="10" xfId="13" applyNumberFormat="1" applyFont="1" applyBorder="1" applyAlignment="1">
      <alignment horizontal="center" vertical="center" wrapText="1"/>
    </xf>
    <xf numFmtId="43" fontId="57" fillId="0" borderId="12" xfId="13" applyNumberFormat="1" applyFont="1" applyBorder="1" applyAlignment="1">
      <alignment horizontal="center" vertical="center" wrapText="1"/>
    </xf>
    <xf numFmtId="43" fontId="57" fillId="0" borderId="10" xfId="13" applyNumberFormat="1" applyFont="1" applyBorder="1" applyAlignment="1">
      <alignment horizontal="center" vertical="center" wrapText="1"/>
    </xf>
    <xf numFmtId="43" fontId="7" fillId="0" borderId="12" xfId="13" applyNumberFormat="1" applyFont="1" applyFill="1" applyBorder="1" applyAlignment="1">
      <alignment horizontal="center" vertical="center" wrapText="1"/>
    </xf>
    <xf numFmtId="0" fontId="54" fillId="0" borderId="102" xfId="13" quotePrefix="1" applyFont="1" applyBorder="1" applyAlignment="1">
      <alignment horizontal="center" vertical="center" wrapText="1"/>
    </xf>
    <xf numFmtId="0" fontId="54" fillId="0" borderId="102" xfId="13" applyFont="1" applyBorder="1" applyAlignment="1">
      <alignment horizontal="center" vertical="center" wrapText="1"/>
    </xf>
    <xf numFmtId="0" fontId="55" fillId="0" borderId="102" xfId="13" applyFont="1" applyBorder="1" applyAlignment="1">
      <alignment vertical="center" wrapText="1"/>
    </xf>
    <xf numFmtId="43" fontId="56" fillId="0" borderId="102" xfId="13" applyNumberFormat="1" applyFont="1" applyBorder="1" applyAlignment="1">
      <alignment horizontal="center" vertical="center" wrapText="1"/>
    </xf>
    <xf numFmtId="167" fontId="55" fillId="0" borderId="162" xfId="13" applyNumberFormat="1" applyFont="1" applyBorder="1" applyAlignment="1">
      <alignment horizontal="center" vertical="center" wrapText="1"/>
    </xf>
    <xf numFmtId="167" fontId="55" fillId="0" borderId="102" xfId="13" applyNumberFormat="1" applyFont="1" applyBorder="1" applyAlignment="1">
      <alignment horizontal="center" vertical="center" wrapText="1"/>
    </xf>
    <xf numFmtId="0" fontId="54" fillId="0" borderId="102" xfId="13" applyFont="1" applyFill="1" applyBorder="1" applyAlignment="1">
      <alignment horizontal="left" vertical="center" wrapText="1"/>
    </xf>
    <xf numFmtId="0" fontId="7" fillId="0" borderId="12" xfId="13" quotePrefix="1" applyFont="1" applyBorder="1" applyAlignment="1">
      <alignment vertical="center"/>
    </xf>
    <xf numFmtId="167" fontId="7" fillId="3" borderId="102" xfId="13" applyNumberFormat="1" applyFont="1" applyFill="1" applyBorder="1" applyAlignment="1">
      <alignment horizontal="center" vertical="center" wrapText="1"/>
    </xf>
    <xf numFmtId="0" fontId="63" fillId="0" borderId="12" xfId="13" applyFont="1" applyBorder="1" applyAlignment="1">
      <alignment horizontal="center" vertical="center"/>
    </xf>
    <xf numFmtId="0" fontId="50" fillId="0" borderId="12" xfId="13" applyFont="1" applyBorder="1" applyAlignment="1">
      <alignment horizontal="center" vertical="center"/>
    </xf>
    <xf numFmtId="0" fontId="49" fillId="0" borderId="12" xfId="13" applyFont="1" applyBorder="1" applyAlignment="1">
      <alignment vertical="center" wrapText="1"/>
    </xf>
    <xf numFmtId="0" fontId="61" fillId="0" borderId="12" xfId="13" applyFont="1" applyBorder="1" applyAlignment="1">
      <alignment horizontal="center" vertical="center"/>
    </xf>
    <xf numFmtId="43" fontId="7" fillId="3" borderId="11" xfId="13" applyNumberFormat="1" applyFont="1" applyFill="1" applyBorder="1" applyAlignment="1">
      <alignment horizontal="center" vertical="center" wrapText="1"/>
    </xf>
    <xf numFmtId="167" fontId="7" fillId="3" borderId="12" xfId="13" applyNumberFormat="1" applyFont="1" applyFill="1" applyBorder="1" applyAlignment="1">
      <alignment horizontal="center" vertical="center" wrapText="1"/>
    </xf>
    <xf numFmtId="43" fontId="7" fillId="3" borderId="163" xfId="13" applyNumberFormat="1" applyFont="1" applyFill="1" applyBorder="1" applyAlignment="1">
      <alignment horizontal="center" vertical="center" wrapText="1"/>
    </xf>
    <xf numFmtId="167" fontId="7" fillId="3" borderId="177" xfId="13" applyNumberFormat="1" applyFont="1" applyFill="1" applyBorder="1" applyAlignment="1">
      <alignment horizontal="center" vertical="center" wrapText="1"/>
    </xf>
    <xf numFmtId="167" fontId="7" fillId="3" borderId="50" xfId="13" applyNumberFormat="1" applyFont="1" applyFill="1" applyBorder="1" applyAlignment="1">
      <alignment horizontal="center" vertical="center" wrapText="1"/>
    </xf>
    <xf numFmtId="0" fontId="54" fillId="3" borderId="102" xfId="13" applyNumberFormat="1" applyFont="1" applyFill="1" applyBorder="1" applyAlignment="1">
      <alignment horizontal="center" vertical="center" wrapText="1"/>
    </xf>
    <xf numFmtId="43" fontId="55" fillId="0" borderId="102" xfId="13" applyNumberFormat="1" applyFont="1" applyFill="1" applyBorder="1" applyAlignment="1">
      <alignment horizontal="center" vertical="center" wrapText="1"/>
    </xf>
    <xf numFmtId="167" fontId="55" fillId="0" borderId="102" xfId="13" applyNumberFormat="1" applyFont="1" applyFill="1" applyBorder="1" applyAlignment="1">
      <alignment horizontal="center" vertical="center" wrapText="1"/>
    </xf>
    <xf numFmtId="43" fontId="54" fillId="0" borderId="163" xfId="13" applyNumberFormat="1" applyFont="1" applyFill="1" applyBorder="1" applyAlignment="1">
      <alignment horizontal="center" vertical="center" wrapText="1"/>
    </xf>
    <xf numFmtId="167" fontId="54" fillId="0" borderId="177" xfId="13" applyNumberFormat="1" applyFont="1" applyFill="1" applyBorder="1" applyAlignment="1">
      <alignment horizontal="center" vertical="center" wrapText="1"/>
    </xf>
    <xf numFmtId="0" fontId="54" fillId="3" borderId="12" xfId="13" quotePrefix="1" applyFont="1" applyFill="1" applyBorder="1" applyAlignment="1">
      <alignment horizontal="left" vertical="center" wrapText="1"/>
    </xf>
    <xf numFmtId="0" fontId="55" fillId="0" borderId="158" xfId="13" applyFont="1" applyBorder="1" applyAlignment="1">
      <alignment horizontal="center" vertical="center" wrapText="1"/>
    </xf>
    <xf numFmtId="167" fontId="55" fillId="0" borderId="156" xfId="13" applyNumberFormat="1" applyFont="1" applyBorder="1" applyAlignment="1">
      <alignment horizontal="center" vertical="center" wrapText="1"/>
    </xf>
    <xf numFmtId="0" fontId="55" fillId="0" borderId="102" xfId="13" applyFont="1" applyBorder="1" applyAlignment="1">
      <alignment horizontal="center" vertical="center" wrapText="1"/>
    </xf>
    <xf numFmtId="43" fontId="54" fillId="0" borderId="102" xfId="13" applyNumberFormat="1" applyFont="1" applyBorder="1" applyAlignment="1">
      <alignment horizontal="center" vertical="center" wrapText="1"/>
    </xf>
    <xf numFmtId="43" fontId="55" fillId="0" borderId="102" xfId="13" applyNumberFormat="1" applyFont="1" applyBorder="1" applyAlignment="1">
      <alignment horizontal="center" vertical="center" wrapText="1"/>
    </xf>
    <xf numFmtId="43" fontId="54" fillId="3" borderId="102" xfId="13" applyNumberFormat="1" applyFont="1" applyFill="1" applyBorder="1" applyAlignment="1">
      <alignment horizontal="center" vertical="center" wrapText="1"/>
    </xf>
    <xf numFmtId="0" fontId="54" fillId="3" borderId="102" xfId="13" quotePrefix="1" applyFont="1" applyFill="1" applyBorder="1" applyAlignment="1">
      <alignment vertical="center"/>
    </xf>
    <xf numFmtId="0" fontId="54" fillId="3" borderId="102" xfId="13" applyFont="1" applyFill="1" applyBorder="1" applyAlignment="1">
      <alignment horizontal="left" vertical="center" wrapText="1"/>
    </xf>
    <xf numFmtId="167" fontId="54" fillId="3" borderId="102" xfId="13" applyNumberFormat="1" applyFont="1" applyFill="1" applyBorder="1" applyAlignment="1">
      <alignment horizontal="center" vertical="center" wrapText="1"/>
    </xf>
    <xf numFmtId="167" fontId="54" fillId="0" borderId="102" xfId="13" applyNumberFormat="1" applyFont="1" applyBorder="1" applyAlignment="1">
      <alignment horizontal="center" vertical="center" wrapText="1"/>
    </xf>
    <xf numFmtId="43" fontId="55" fillId="0" borderId="12" xfId="13" applyNumberFormat="1" applyFont="1" applyFill="1" applyBorder="1" applyAlignment="1">
      <alignment horizontal="center" vertical="center" wrapText="1"/>
    </xf>
    <xf numFmtId="43" fontId="55" fillId="0" borderId="10" xfId="13" applyNumberFormat="1" applyFont="1" applyFill="1" applyBorder="1" applyAlignment="1">
      <alignment horizontal="center" vertical="center" wrapText="1"/>
    </xf>
    <xf numFmtId="0" fontId="54" fillId="0" borderId="102" xfId="13" applyFont="1" applyFill="1" applyBorder="1" applyAlignment="1">
      <alignment vertical="center" wrapText="1"/>
    </xf>
    <xf numFmtId="43" fontId="54" fillId="0" borderId="177" xfId="13" applyNumberFormat="1" applyFont="1" applyBorder="1" applyAlignment="1">
      <alignment horizontal="center" vertical="center" wrapText="1"/>
    </xf>
    <xf numFmtId="167" fontId="54" fillId="0" borderId="46" xfId="13" applyNumberFormat="1" applyFont="1" applyBorder="1" applyAlignment="1">
      <alignment horizontal="center" vertical="center" wrapText="1"/>
    </xf>
    <xf numFmtId="43" fontId="54" fillId="0" borderId="12" xfId="13" applyNumberFormat="1" applyFont="1" applyFill="1" applyBorder="1" applyAlignment="1">
      <alignment horizontal="center" vertical="center" wrapText="1"/>
    </xf>
    <xf numFmtId="43" fontId="54" fillId="0" borderId="10" xfId="13" applyNumberFormat="1" applyFont="1" applyFill="1" applyBorder="1" applyAlignment="1">
      <alignment horizontal="center" vertical="center" wrapText="1"/>
    </xf>
    <xf numFmtId="43" fontId="54" fillId="0" borderId="177" xfId="13" applyNumberFormat="1" applyFont="1" applyFill="1" applyBorder="1" applyAlignment="1">
      <alignment horizontal="center" vertical="center" wrapText="1"/>
    </xf>
    <xf numFmtId="167" fontId="54" fillId="0" borderId="46" xfId="13" applyNumberFormat="1" applyFont="1" applyFill="1" applyBorder="1" applyAlignment="1">
      <alignment horizontal="center" vertical="center" wrapText="1"/>
    </xf>
    <xf numFmtId="0" fontId="54" fillId="0" borderId="102" xfId="13" quotePrefix="1" applyFont="1" applyFill="1" applyBorder="1" applyAlignment="1">
      <alignment vertical="center"/>
    </xf>
    <xf numFmtId="167" fontId="7" fillId="0" borderId="102" xfId="1" applyNumberFormat="1" applyFont="1" applyFill="1" applyBorder="1" applyAlignment="1">
      <alignment horizontal="center" vertical="center" wrapText="1"/>
    </xf>
    <xf numFmtId="167" fontId="54" fillId="0" borderId="101" xfId="0" applyNumberFormat="1" applyFont="1" applyBorder="1" applyAlignment="1">
      <alignment horizontal="center" vertical="center" wrapText="1"/>
    </xf>
    <xf numFmtId="167" fontId="5" fillId="0" borderId="197" xfId="0" applyNumberFormat="1" applyFont="1" applyFill="1" applyBorder="1" applyAlignment="1">
      <alignment horizontal="center" vertical="center" wrapText="1"/>
    </xf>
    <xf numFmtId="167" fontId="54" fillId="0" borderId="197" xfId="0" applyNumberFormat="1" applyFont="1" applyFill="1" applyBorder="1" applyAlignment="1">
      <alignment horizontal="center" vertical="center" wrapText="1"/>
    </xf>
    <xf numFmtId="167" fontId="54" fillId="0" borderId="197" xfId="0" applyNumberFormat="1" applyFont="1" applyBorder="1" applyAlignment="1">
      <alignment horizontal="center" vertical="center" wrapText="1"/>
    </xf>
    <xf numFmtId="167" fontId="7" fillId="0" borderId="197" xfId="0" applyNumberFormat="1" applyFont="1" applyFill="1" applyBorder="1" applyAlignment="1">
      <alignment horizontal="center" vertical="center" wrapText="1"/>
    </xf>
    <xf numFmtId="167" fontId="7" fillId="0" borderId="107" xfId="0" applyNumberFormat="1" applyFont="1" applyFill="1" applyBorder="1" applyAlignment="1">
      <alignment horizontal="center" vertical="center" wrapText="1"/>
    </xf>
    <xf numFmtId="167" fontId="5" fillId="0" borderId="33" xfId="0" applyNumberFormat="1" applyFont="1" applyBorder="1" applyAlignment="1">
      <alignment horizontal="center" vertical="center" wrapText="1"/>
    </xf>
    <xf numFmtId="167" fontId="5" fillId="0" borderId="164" xfId="0" applyNumberFormat="1" applyFont="1" applyBorder="1" applyAlignment="1">
      <alignment horizontal="center" vertical="center" wrapText="1"/>
    </xf>
    <xf numFmtId="167" fontId="55" fillId="0" borderId="164" xfId="8" applyNumberFormat="1" applyFont="1" applyBorder="1" applyAlignment="1">
      <alignment horizontal="center" vertical="center" wrapText="1"/>
    </xf>
    <xf numFmtId="167" fontId="54" fillId="0" borderId="164" xfId="8" applyNumberFormat="1" applyFont="1" applyFill="1" applyBorder="1" applyAlignment="1">
      <alignment horizontal="center" vertical="center" wrapText="1"/>
    </xf>
    <xf numFmtId="167" fontId="5" fillId="0" borderId="164" xfId="0" applyNumberFormat="1" applyFont="1" applyFill="1" applyBorder="1" applyAlignment="1">
      <alignment horizontal="center" vertical="center" wrapText="1"/>
    </xf>
    <xf numFmtId="167" fontId="54" fillId="0" borderId="164" xfId="0" applyNumberFormat="1" applyFont="1" applyFill="1" applyBorder="1" applyAlignment="1">
      <alignment horizontal="center" vertical="center" wrapText="1"/>
    </xf>
    <xf numFmtId="167" fontId="54" fillId="0" borderId="164" xfId="0" applyNumberFormat="1" applyFont="1" applyBorder="1" applyAlignment="1">
      <alignment horizontal="center" vertical="center" wrapText="1"/>
    </xf>
    <xf numFmtId="167" fontId="7" fillId="0" borderId="102" xfId="0" applyNumberFormat="1" applyFont="1" applyFill="1" applyBorder="1" applyAlignment="1">
      <alignment vertical="center" wrapText="1"/>
    </xf>
    <xf numFmtId="167" fontId="7" fillId="0" borderId="49" xfId="0" applyNumberFormat="1" applyFont="1" applyFill="1" applyBorder="1" applyAlignment="1">
      <alignment horizontal="center" vertical="center" wrapText="1"/>
    </xf>
    <xf numFmtId="167" fontId="54" fillId="0" borderId="33" xfId="0" applyNumberFormat="1" applyFont="1" applyBorder="1" applyAlignment="1">
      <alignment horizontal="center" vertical="center" wrapText="1"/>
    </xf>
    <xf numFmtId="167" fontId="7" fillId="0" borderId="52" xfId="0" applyNumberFormat="1" applyFont="1" applyFill="1" applyBorder="1" applyAlignment="1">
      <alignment vertical="center" wrapText="1"/>
    </xf>
    <xf numFmtId="167" fontId="54" fillId="0" borderId="10" xfId="0" applyNumberFormat="1" applyFont="1" applyBorder="1" applyAlignment="1">
      <alignment horizontal="center" vertical="center" wrapText="1"/>
    </xf>
    <xf numFmtId="167" fontId="54" fillId="0" borderId="162" xfId="8" applyNumberFormat="1" applyFont="1" applyBorder="1" applyAlignment="1">
      <alignment horizontal="center" vertical="center" wrapText="1"/>
    </xf>
    <xf numFmtId="167" fontId="55" fillId="0" borderId="156" xfId="8" applyNumberFormat="1" applyFont="1" applyBorder="1" applyAlignment="1">
      <alignment horizontal="center" vertical="center" wrapText="1"/>
    </xf>
    <xf numFmtId="167" fontId="55" fillId="0" borderId="102" xfId="8" applyNumberFormat="1" applyFont="1" applyBorder="1" applyAlignment="1">
      <alignment vertical="center" wrapText="1"/>
    </xf>
    <xf numFmtId="167" fontId="55" fillId="0" borderId="102" xfId="8" applyNumberFormat="1" applyFont="1" applyFill="1" applyBorder="1" applyAlignment="1">
      <alignment horizontal="center" vertical="center" wrapText="1"/>
    </xf>
    <xf numFmtId="43" fontId="57" fillId="0" borderId="102" xfId="8" applyNumberFormat="1" applyFont="1" applyBorder="1" applyAlignment="1">
      <alignment horizontal="center" vertical="center" wrapText="1"/>
    </xf>
    <xf numFmtId="167" fontId="5" fillId="0" borderId="102" xfId="8" applyNumberFormat="1" applyFont="1" applyBorder="1" applyAlignment="1">
      <alignment horizontal="center" vertical="center" wrapText="1"/>
    </xf>
    <xf numFmtId="0" fontId="7" fillId="0" borderId="0" xfId="0" applyFont="1" applyBorder="1" applyAlignment="1">
      <alignment horizontal="center" wrapText="1"/>
    </xf>
    <xf numFmtId="43" fontId="7" fillId="0" borderId="11" xfId="0" applyNumberFormat="1" applyFont="1" applyFill="1" applyBorder="1" applyAlignment="1">
      <alignment horizontal="center" wrapText="1"/>
    </xf>
    <xf numFmtId="0" fontId="5" fillId="0" borderId="150" xfId="0" quotePrefix="1" applyFont="1" applyBorder="1" applyAlignment="1">
      <alignment horizontal="center" vertical="center"/>
    </xf>
    <xf numFmtId="0" fontId="5"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12" xfId="0" quotePrefix="1" applyFont="1" applyFill="1" applyBorder="1" applyAlignment="1">
      <alignment horizontal="center" vertical="center"/>
    </xf>
    <xf numFmtId="0" fontId="3" fillId="0" borderId="12" xfId="0" applyFont="1" applyFill="1" applyBorder="1" applyAlignment="1">
      <alignment vertical="center"/>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50" xfId="0" applyFont="1" applyBorder="1" applyAlignment="1">
      <alignment vertical="center"/>
    </xf>
    <xf numFmtId="0" fontId="5" fillId="3" borderId="136" xfId="0" applyFont="1" applyFill="1" applyBorder="1" applyAlignment="1">
      <alignment horizontal="center" wrapText="1"/>
    </xf>
    <xf numFmtId="41" fontId="7" fillId="0" borderId="12" xfId="2" applyFont="1" applyBorder="1" applyAlignment="1">
      <alignment horizontal="center" wrapText="1"/>
    </xf>
    <xf numFmtId="0" fontId="58" fillId="0" borderId="50" xfId="13" quotePrefix="1" applyFont="1" applyBorder="1" applyAlignment="1">
      <alignment vertical="top" wrapText="1" readingOrder="1"/>
    </xf>
    <xf numFmtId="0" fontId="7" fillId="3" borderId="11" xfId="13" applyFont="1" applyFill="1" applyBorder="1" applyAlignment="1">
      <alignment horizontal="center" vertical="center" wrapText="1"/>
    </xf>
    <xf numFmtId="41" fontId="7" fillId="3" borderId="12" xfId="2" applyFont="1" applyFill="1" applyBorder="1" applyAlignment="1">
      <alignment horizontal="center" vertical="center" wrapText="1"/>
    </xf>
    <xf numFmtId="0" fontId="5" fillId="3" borderId="11" xfId="13" applyFont="1" applyFill="1" applyBorder="1" applyAlignment="1">
      <alignment horizontal="center" wrapText="1"/>
    </xf>
    <xf numFmtId="41" fontId="5" fillId="3" borderId="12" xfId="2" applyFont="1" applyFill="1" applyBorder="1" applyAlignment="1">
      <alignment horizontal="center" wrapText="1"/>
    </xf>
    <xf numFmtId="0" fontId="7" fillId="3" borderId="11" xfId="13" applyFont="1" applyFill="1" applyBorder="1" applyAlignment="1">
      <alignment horizontal="center" wrapText="1"/>
    </xf>
    <xf numFmtId="41" fontId="7" fillId="3" borderId="12" xfId="2" applyFont="1" applyFill="1" applyBorder="1" applyAlignment="1">
      <alignment horizontal="center" wrapText="1"/>
    </xf>
    <xf numFmtId="0" fontId="7" fillId="0" borderId="11" xfId="13" quotePrefix="1" applyFont="1" applyBorder="1" applyAlignment="1">
      <alignment wrapText="1"/>
    </xf>
    <xf numFmtId="0" fontId="5" fillId="0" borderId="12" xfId="13" applyFont="1" applyBorder="1" applyAlignment="1">
      <alignment readingOrder="1"/>
    </xf>
    <xf numFmtId="0" fontId="7" fillId="0" borderId="12" xfId="13" quotePrefix="1" applyFont="1" applyBorder="1" applyAlignment="1">
      <alignment readingOrder="1"/>
    </xf>
    <xf numFmtId="0" fontId="7" fillId="0" borderId="50" xfId="13" quotePrefix="1" applyFont="1" applyBorder="1" applyAlignment="1">
      <alignment horizontal="left" vertical="top" wrapText="1" readingOrder="1"/>
    </xf>
    <xf numFmtId="43" fontId="7" fillId="0" borderId="11" xfId="13" applyNumberFormat="1" applyFont="1" applyBorder="1" applyAlignment="1">
      <alignment horizontal="center" vertical="top" wrapText="1"/>
    </xf>
    <xf numFmtId="41" fontId="7" fillId="0" borderId="12" xfId="2" applyFont="1" applyBorder="1" applyAlignment="1">
      <alignment horizontal="center" vertical="top" wrapText="1"/>
    </xf>
    <xf numFmtId="0" fontId="7" fillId="0" borderId="12" xfId="13" applyFont="1" applyBorder="1" applyAlignment="1">
      <alignment readingOrder="1"/>
    </xf>
    <xf numFmtId="0" fontId="48" fillId="0" borderId="61" xfId="13" applyFont="1" applyBorder="1" applyAlignment="1">
      <alignment horizontal="center" vertical="center" wrapText="1"/>
    </xf>
    <xf numFmtId="0" fontId="48" fillId="0" borderId="10" xfId="13" quotePrefix="1" applyFont="1" applyBorder="1" applyAlignment="1">
      <alignment horizontal="center" vertical="center" wrapText="1"/>
    </xf>
    <xf numFmtId="0" fontId="48" fillId="0" borderId="11" xfId="13" quotePrefix="1" applyFont="1" applyBorder="1" applyAlignment="1">
      <alignment horizontal="center" vertical="center" wrapText="1"/>
    </xf>
    <xf numFmtId="0" fontId="48" fillId="0" borderId="12" xfId="13" quotePrefix="1" applyFont="1" applyBorder="1" applyAlignment="1">
      <alignment horizontal="center" vertical="center" wrapText="1"/>
    </xf>
    <xf numFmtId="0" fontId="48" fillId="0" borderId="10" xfId="13" applyFont="1" applyBorder="1" applyAlignment="1">
      <alignment horizontal="center" vertical="center" wrapText="1"/>
    </xf>
    <xf numFmtId="0" fontId="48" fillId="0" borderId="61" xfId="13" applyFont="1" applyBorder="1" applyAlignment="1">
      <alignment horizontal="center" wrapText="1"/>
    </xf>
    <xf numFmtId="0" fontId="48" fillId="0" borderId="10" xfId="13" quotePrefix="1" applyFont="1" applyBorder="1" applyAlignment="1">
      <alignment horizontal="center" wrapText="1"/>
    </xf>
    <xf numFmtId="0" fontId="48" fillId="0" borderId="11" xfId="13" quotePrefix="1" applyFont="1" applyBorder="1" applyAlignment="1">
      <alignment horizontal="center" wrapText="1"/>
    </xf>
    <xf numFmtId="0" fontId="48" fillId="0" borderId="12" xfId="13" quotePrefix="1" applyFont="1" applyBorder="1" applyAlignment="1">
      <alignment horizontal="center" wrapText="1"/>
    </xf>
    <xf numFmtId="0" fontId="48" fillId="0" borderId="10" xfId="13" applyFont="1" applyBorder="1" applyAlignment="1">
      <alignment horizontal="center" wrapText="1"/>
    </xf>
    <xf numFmtId="2" fontId="7" fillId="0" borderId="103" xfId="0" applyNumberFormat="1" applyFont="1" applyBorder="1" applyAlignment="1">
      <alignment horizontal="center"/>
    </xf>
    <xf numFmtId="0" fontId="7" fillId="0" borderId="0" xfId="0" quotePrefix="1" applyFont="1" applyBorder="1" applyAlignment="1">
      <alignment horizontal="center" wrapText="1"/>
    </xf>
    <xf numFmtId="0" fontId="7" fillId="0" borderId="177" xfId="0" quotePrefix="1" applyFont="1" applyBorder="1" applyAlignment="1">
      <alignment horizontal="center" wrapText="1"/>
    </xf>
    <xf numFmtId="0" fontId="7" fillId="0" borderId="177" xfId="0" quotePrefix="1" applyFont="1" applyBorder="1" applyAlignment="1">
      <alignment readingOrder="1"/>
    </xf>
    <xf numFmtId="0" fontId="7" fillId="0" borderId="163" xfId="1" applyNumberFormat="1" applyFont="1" applyBorder="1" applyAlignment="1">
      <alignment horizontal="center" vertical="center" wrapText="1"/>
    </xf>
    <xf numFmtId="43" fontId="7" fillId="0" borderId="163" xfId="0" applyNumberFormat="1" applyFont="1" applyBorder="1" applyAlignment="1">
      <alignment horizontal="center" wrapText="1"/>
    </xf>
    <xf numFmtId="41" fontId="7" fillId="0" borderId="177" xfId="2" applyFont="1" applyBorder="1" applyAlignment="1">
      <alignment horizontal="center" wrapText="1"/>
    </xf>
    <xf numFmtId="41" fontId="7" fillId="0" borderId="0" xfId="0" applyNumberFormat="1" applyFont="1" applyBorder="1" applyAlignment="1">
      <alignment horizontal="right" wrapText="1"/>
    </xf>
    <xf numFmtId="0" fontId="4" fillId="0" borderId="136" xfId="0" applyFont="1" applyBorder="1" applyAlignment="1">
      <alignment horizontal="center"/>
    </xf>
    <xf numFmtId="0" fontId="44" fillId="0" borderId="0" xfId="0" applyFont="1" applyAlignment="1">
      <alignment vertical="center"/>
    </xf>
    <xf numFmtId="167" fontId="7" fillId="0" borderId="0" xfId="0" applyNumberFormat="1" applyFont="1" applyBorder="1" applyAlignment="1">
      <alignment horizontal="center"/>
    </xf>
    <xf numFmtId="0" fontId="7" fillId="0" borderId="82" xfId="0" applyFont="1" applyBorder="1" applyAlignment="1">
      <alignment horizontal="center"/>
    </xf>
    <xf numFmtId="0" fontId="7" fillId="0" borderId="14" xfId="0" applyFont="1" applyBorder="1" applyAlignment="1">
      <alignment horizontal="center" wrapText="1"/>
    </xf>
    <xf numFmtId="0" fontId="7" fillId="0" borderId="9" xfId="0" applyFont="1" applyBorder="1" applyAlignment="1">
      <alignment horizontal="center" wrapText="1"/>
    </xf>
    <xf numFmtId="43" fontId="7" fillId="0" borderId="9" xfId="0" applyNumberFormat="1" applyFont="1" applyBorder="1" applyAlignment="1">
      <alignment horizontal="center"/>
    </xf>
    <xf numFmtId="43" fontId="7" fillId="0" borderId="60" xfId="0" applyNumberFormat="1" applyFont="1" applyBorder="1" applyAlignment="1">
      <alignment horizontal="center"/>
    </xf>
    <xf numFmtId="0" fontId="7" fillId="0" borderId="0" xfId="0" applyFont="1" applyAlignment="1">
      <alignment horizontal="center" vertical="center"/>
    </xf>
    <xf numFmtId="0" fontId="7" fillId="0" borderId="10" xfId="0" applyFont="1" applyBorder="1" applyAlignment="1">
      <alignment horizontal="center" vertical="center"/>
    </xf>
    <xf numFmtId="43" fontId="7" fillId="0" borderId="10" xfId="0" applyNumberFormat="1" applyFont="1" applyBorder="1" applyAlignment="1">
      <alignment horizontal="center" vertical="center"/>
    </xf>
    <xf numFmtId="43" fontId="7" fillId="0" borderId="10" xfId="0" applyNumberFormat="1" applyFont="1" applyBorder="1" applyAlignment="1">
      <alignment horizontal="center" vertical="center" wrapText="1"/>
    </xf>
    <xf numFmtId="43" fontId="7" fillId="0" borderId="43" xfId="0" applyNumberFormat="1" applyFont="1" applyBorder="1" applyAlignment="1">
      <alignment horizontal="center" vertical="center" wrapText="1"/>
    </xf>
    <xf numFmtId="43" fontId="7" fillId="0" borderId="69" xfId="0" applyNumberFormat="1" applyFont="1" applyBorder="1" applyAlignment="1">
      <alignment horizontal="center" vertical="center"/>
    </xf>
    <xf numFmtId="0" fontId="7" fillId="0" borderId="150" xfId="0" applyFont="1" applyBorder="1" applyAlignment="1">
      <alignment horizontal="center" vertical="center" wrapText="1"/>
    </xf>
    <xf numFmtId="43" fontId="7" fillId="0" borderId="150" xfId="0" applyNumberFormat="1" applyFont="1" applyBorder="1" applyAlignment="1">
      <alignment horizontal="center" vertical="center" wrapText="1"/>
    </xf>
    <xf numFmtId="0" fontId="7" fillId="0" borderId="150" xfId="0" applyFont="1" applyBorder="1" applyAlignment="1">
      <alignment vertical="center"/>
    </xf>
    <xf numFmtId="0" fontId="4" fillId="0" borderId="10" xfId="0" applyFont="1" applyFill="1" applyBorder="1" applyAlignment="1">
      <alignment horizontal="center" vertical="center"/>
    </xf>
    <xf numFmtId="9" fontId="7" fillId="0" borderId="10" xfId="0" applyNumberFormat="1" applyFont="1" applyFill="1" applyBorder="1" applyAlignment="1">
      <alignment horizontal="center" vertical="center" wrapText="1"/>
    </xf>
    <xf numFmtId="43" fontId="7" fillId="0" borderId="10" xfId="0" applyNumberFormat="1" applyFont="1" applyFill="1" applyBorder="1" applyAlignment="1">
      <alignment horizontal="center" vertical="center"/>
    </xf>
    <xf numFmtId="41" fontId="7" fillId="0" borderId="12" xfId="2" applyFont="1" applyFill="1" applyBorder="1" applyAlignment="1">
      <alignment horizontal="center" vertical="center" wrapText="1"/>
    </xf>
    <xf numFmtId="41" fontId="4" fillId="0" borderId="12" xfId="2" applyFont="1" applyFill="1" applyBorder="1" applyAlignment="1">
      <alignment horizontal="left" vertical="center" wrapText="1"/>
    </xf>
    <xf numFmtId="167" fontId="7" fillId="0" borderId="0" xfId="1" applyNumberFormat="1" applyFont="1" applyFill="1" applyBorder="1"/>
    <xf numFmtId="0" fontId="4" fillId="0" borderId="10" xfId="0" applyFont="1" applyFill="1" applyBorder="1" applyAlignment="1">
      <alignment horizontal="justify" vertical="center"/>
    </xf>
    <xf numFmtId="41" fontId="7" fillId="0" borderId="10" xfId="2" applyFont="1" applyFill="1" applyBorder="1" applyAlignment="1">
      <alignment horizontal="center" vertical="center"/>
    </xf>
    <xf numFmtId="43" fontId="7" fillId="0" borderId="62" xfId="0" applyNumberFormat="1" applyFont="1" applyBorder="1" applyAlignment="1">
      <alignment horizontal="center" vertical="center"/>
    </xf>
    <xf numFmtId="0" fontId="7" fillId="0" borderId="0" xfId="0" quotePrefix="1" applyFont="1"/>
    <xf numFmtId="41" fontId="54" fillId="2" borderId="12" xfId="0" applyNumberFormat="1" applyFont="1" applyFill="1" applyBorder="1" applyAlignment="1">
      <alignment vertical="center"/>
    </xf>
    <xf numFmtId="41" fontId="65" fillId="2" borderId="12" xfId="0" applyNumberFormat="1" applyFont="1" applyFill="1" applyBorder="1" applyAlignment="1">
      <alignment vertical="center"/>
    </xf>
    <xf numFmtId="41" fontId="7" fillId="0" borderId="12" xfId="0" applyNumberFormat="1" applyFont="1" applyBorder="1" applyAlignment="1">
      <alignment vertical="center"/>
    </xf>
    <xf numFmtId="43" fontId="7" fillId="3" borderId="10" xfId="0" applyNumberFormat="1" applyFont="1" applyFill="1" applyBorder="1" applyAlignment="1">
      <alignment horizontal="center" vertical="center" wrapText="1"/>
    </xf>
    <xf numFmtId="41" fontId="4" fillId="0" borderId="12" xfId="2" applyFont="1" applyFill="1" applyBorder="1" applyAlignment="1">
      <alignment horizontal="left" vertical="center"/>
    </xf>
    <xf numFmtId="9" fontId="7" fillId="0" borderId="10" xfId="0" applyNumberFormat="1" applyFont="1" applyBorder="1" applyAlignment="1">
      <alignment horizontal="left" vertical="center" wrapText="1"/>
    </xf>
    <xf numFmtId="167" fontId="7" fillId="0" borderId="10" xfId="0" applyNumberFormat="1" applyFont="1" applyBorder="1" applyAlignment="1">
      <alignment horizontal="left" vertical="center"/>
    </xf>
    <xf numFmtId="167" fontId="7" fillId="3" borderId="10" xfId="0" applyNumberFormat="1" applyFont="1" applyFill="1" applyBorder="1" applyAlignment="1">
      <alignment horizontal="left" vertical="center" wrapText="1"/>
    </xf>
    <xf numFmtId="43" fontId="7" fillId="0" borderId="69" xfId="0" applyNumberFormat="1" applyFont="1" applyBorder="1" applyAlignment="1">
      <alignment horizontal="left" vertical="center"/>
    </xf>
    <xf numFmtId="0" fontId="66" fillId="0" borderId="12" xfId="0" applyFont="1" applyBorder="1" applyAlignment="1">
      <alignment horizontal="center" vertical="center" wrapText="1"/>
    </xf>
    <xf numFmtId="167" fontId="4" fillId="0" borderId="12" xfId="0" applyNumberFormat="1" applyFont="1" applyBorder="1" applyAlignment="1">
      <alignment horizontal="center" vertical="center" wrapText="1"/>
    </xf>
    <xf numFmtId="167" fontId="67" fillId="0" borderId="12" xfId="1" applyNumberFormat="1" applyFont="1" applyBorder="1" applyAlignment="1">
      <alignment horizontal="center" vertical="center" wrapText="1"/>
    </xf>
    <xf numFmtId="0" fontId="66" fillId="0" borderId="11" xfId="0" applyFont="1" applyBorder="1" applyAlignment="1">
      <alignment horizontal="center" vertical="center" wrapText="1"/>
    </xf>
    <xf numFmtId="0" fontId="66" fillId="0" borderId="10" xfId="0" applyFont="1" applyBorder="1" applyAlignment="1">
      <alignment horizontal="center" vertical="center" wrapText="1"/>
    </xf>
    <xf numFmtId="0" fontId="4" fillId="0" borderId="10" xfId="0" applyFont="1" applyBorder="1" applyAlignment="1">
      <alignment horizontal="justify" vertical="center"/>
    </xf>
    <xf numFmtId="9" fontId="7" fillId="0" borderId="10" xfId="0" applyNumberFormat="1" applyFont="1" applyBorder="1" applyAlignment="1">
      <alignment horizontal="center" vertical="center" wrapText="1"/>
    </xf>
    <xf numFmtId="167" fontId="7" fillId="0" borderId="10" xfId="0" applyNumberFormat="1" applyFont="1" applyBorder="1" applyAlignment="1">
      <alignment horizontal="center" vertical="center"/>
    </xf>
    <xf numFmtId="43" fontId="7" fillId="0" borderId="57" xfId="0" applyNumberFormat="1" applyFont="1" applyBorder="1" applyAlignment="1">
      <alignment horizontal="center" vertical="center"/>
    </xf>
    <xf numFmtId="167" fontId="7" fillId="0" borderId="12" xfId="0" applyNumberFormat="1" applyFont="1" applyBorder="1" applyAlignment="1">
      <alignment horizontal="left" vertical="center" wrapText="1"/>
    </xf>
    <xf numFmtId="167" fontId="4" fillId="0" borderId="12" xfId="0" applyNumberFormat="1" applyFont="1" applyBorder="1" applyAlignment="1">
      <alignment horizontal="left" vertical="center" wrapText="1"/>
    </xf>
    <xf numFmtId="167" fontId="4" fillId="0" borderId="12" xfId="1" applyNumberFormat="1" applyFont="1" applyBorder="1" applyAlignment="1">
      <alignment horizontal="left" vertical="center" wrapText="1"/>
    </xf>
    <xf numFmtId="41" fontId="4" fillId="0" borderId="12" xfId="2"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0" xfId="0" applyFont="1" applyBorder="1" applyAlignment="1">
      <alignment horizontal="center" vertical="center"/>
    </xf>
    <xf numFmtId="41" fontId="4" fillId="0" borderId="12" xfId="2" applyFont="1" applyBorder="1" applyAlignment="1">
      <alignment horizontal="center" vertical="center" wrapText="1"/>
    </xf>
    <xf numFmtId="41" fontId="4" fillId="0" borderId="12" xfId="2" applyFont="1" applyBorder="1" applyAlignment="1">
      <alignment horizontal="left" vertical="center" wrapText="1"/>
    </xf>
    <xf numFmtId="41" fontId="4" fillId="0" borderId="151" xfId="2" applyFont="1" applyBorder="1" applyAlignment="1">
      <alignment horizontal="center" vertical="center" wrapText="1"/>
    </xf>
    <xf numFmtId="41" fontId="4" fillId="0" borderId="50" xfId="2" applyFont="1" applyBorder="1" applyAlignment="1">
      <alignment horizontal="left" vertical="center" wrapText="1"/>
    </xf>
    <xf numFmtId="41" fontId="4" fillId="0" borderId="151" xfId="2" applyFont="1" applyFill="1" applyBorder="1" applyAlignment="1">
      <alignment horizontal="left" vertical="center" wrapText="1"/>
    </xf>
    <xf numFmtId="41" fontId="4" fillId="0" borderId="151" xfId="2" applyFont="1" applyBorder="1" applyAlignment="1">
      <alignment horizontal="left" vertical="center" wrapText="1"/>
    </xf>
    <xf numFmtId="41" fontId="7" fillId="0" borderId="151" xfId="2" applyFont="1" applyBorder="1" applyAlignment="1">
      <alignment horizontal="center" vertical="center" wrapText="1"/>
    </xf>
    <xf numFmtId="0" fontId="7" fillId="0" borderId="151" xfId="0" applyFont="1" applyBorder="1" applyAlignment="1">
      <alignment vertical="center"/>
    </xf>
    <xf numFmtId="0" fontId="7" fillId="0" borderId="55" xfId="0" applyFont="1" applyBorder="1" applyAlignment="1">
      <alignment horizontal="center" vertical="center"/>
    </xf>
    <xf numFmtId="0" fontId="7" fillId="0" borderId="140" xfId="0" applyFont="1" applyBorder="1" applyAlignment="1">
      <alignment horizontal="left" vertical="center" wrapText="1"/>
    </xf>
    <xf numFmtId="0" fontId="7" fillId="0" borderId="36" xfId="0" applyFont="1" applyBorder="1" applyAlignment="1">
      <alignment horizontal="center" vertical="center" wrapText="1"/>
    </xf>
    <xf numFmtId="43" fontId="7" fillId="0" borderId="36" xfId="0" applyNumberFormat="1" applyFont="1" applyBorder="1" applyAlignment="1">
      <alignment horizontal="center" vertical="center"/>
    </xf>
    <xf numFmtId="167" fontId="7" fillId="3" borderId="36" xfId="0" applyNumberFormat="1" applyFont="1" applyFill="1" applyBorder="1" applyAlignment="1">
      <alignment horizontal="center" vertical="center" wrapText="1"/>
    </xf>
    <xf numFmtId="43" fontId="7" fillId="0" borderId="67" xfId="0" applyNumberFormat="1" applyFont="1" applyBorder="1" applyAlignment="1">
      <alignment horizontal="center" vertical="center"/>
    </xf>
    <xf numFmtId="0" fontId="4" fillId="0" borderId="52" xfId="0" applyFont="1" applyBorder="1" applyAlignment="1">
      <alignment horizontal="left" vertical="center" wrapText="1"/>
    </xf>
    <xf numFmtId="41" fontId="4" fillId="0" borderId="51" xfId="2" applyFont="1" applyBorder="1" applyAlignment="1">
      <alignment horizontal="center" vertical="center" wrapText="1"/>
    </xf>
    <xf numFmtId="41" fontId="7" fillId="0" borderId="152" xfId="2" applyFont="1" applyBorder="1" applyAlignment="1">
      <alignment horizontal="center" vertical="center" wrapText="1"/>
    </xf>
    <xf numFmtId="41" fontId="7" fillId="0" borderId="47" xfId="2" applyFont="1" applyBorder="1" applyAlignment="1">
      <alignment horizontal="center" vertical="center" wrapText="1"/>
    </xf>
    <xf numFmtId="167" fontId="5" fillId="0" borderId="105" xfId="0" applyNumberFormat="1" applyFont="1" applyBorder="1" applyAlignment="1">
      <alignment horizontal="center" vertical="center"/>
    </xf>
    <xf numFmtId="167" fontId="5" fillId="3" borderId="105" xfId="0" applyNumberFormat="1" applyFont="1" applyFill="1" applyBorder="1" applyAlignment="1">
      <alignment horizontal="center" vertical="center" wrapText="1"/>
    </xf>
    <xf numFmtId="41" fontId="5" fillId="0" borderId="149" xfId="2" applyFont="1" applyBorder="1" applyAlignment="1">
      <alignment vertical="center" wrapText="1"/>
    </xf>
    <xf numFmtId="41" fontId="5" fillId="0" borderId="0" xfId="2" applyFont="1" applyBorder="1" applyAlignment="1">
      <alignment wrapText="1"/>
    </xf>
    <xf numFmtId="167" fontId="7" fillId="0" borderId="17" xfId="0" applyNumberFormat="1" applyFont="1" applyBorder="1" applyAlignment="1">
      <alignment horizontal="center" vertical="center" wrapText="1"/>
    </xf>
    <xf numFmtId="41" fontId="4" fillId="0" borderId="17" xfId="0" applyNumberFormat="1" applyFont="1" applyBorder="1" applyAlignment="1">
      <alignment horizontal="left" vertical="center" wrapText="1"/>
    </xf>
    <xf numFmtId="41" fontId="7" fillId="0" borderId="17" xfId="0" applyNumberFormat="1" applyFont="1" applyBorder="1" applyAlignment="1">
      <alignment vertical="center"/>
    </xf>
    <xf numFmtId="0" fontId="7" fillId="0" borderId="53" xfId="0" applyFont="1" applyBorder="1"/>
    <xf numFmtId="167" fontId="5" fillId="0" borderId="0" xfId="0" applyNumberFormat="1" applyFont="1" applyBorder="1"/>
    <xf numFmtId="41" fontId="48" fillId="0" borderId="0" xfId="0" applyNumberFormat="1" applyFont="1" applyBorder="1"/>
    <xf numFmtId="41" fontId="48" fillId="0" borderId="0" xfId="0" applyNumberFormat="1" applyFont="1"/>
    <xf numFmtId="167" fontId="5" fillId="0" borderId="0" xfId="1" applyNumberFormat="1" applyFont="1"/>
    <xf numFmtId="0" fontId="7" fillId="0" borderId="0" xfId="0" applyFont="1" applyBorder="1" applyAlignment="1">
      <alignment horizontal="center"/>
    </xf>
    <xf numFmtId="0" fontId="7" fillId="0" borderId="57" xfId="0" applyFont="1" applyBorder="1" applyAlignment="1"/>
    <xf numFmtId="0" fontId="7" fillId="0" borderId="79" xfId="0" applyFont="1" applyBorder="1"/>
    <xf numFmtId="0" fontId="7" fillId="0" borderId="80" xfId="0" applyFont="1" applyBorder="1"/>
    <xf numFmtId="0" fontId="7" fillId="0" borderId="80" xfId="0" applyFont="1" applyBorder="1" applyAlignment="1"/>
    <xf numFmtId="0" fontId="7" fillId="0" borderId="73" xfId="0" applyFont="1" applyBorder="1" applyAlignment="1"/>
    <xf numFmtId="0" fontId="54" fillId="0" borderId="46" xfId="13" quotePrefix="1" applyFont="1" applyFill="1" applyBorder="1" applyAlignment="1">
      <alignment horizontal="left" vertical="center" wrapText="1"/>
    </xf>
    <xf numFmtId="0" fontId="54" fillId="3" borderId="45" xfId="12" applyNumberFormat="1" applyFont="1" applyFill="1" applyBorder="1" applyAlignment="1">
      <alignment horizontal="center" vertical="center" wrapText="1"/>
    </xf>
    <xf numFmtId="43" fontId="54" fillId="3" borderId="45" xfId="13" applyNumberFormat="1" applyFont="1" applyFill="1" applyBorder="1" applyAlignment="1">
      <alignment horizontal="center" vertical="center" wrapText="1"/>
    </xf>
    <xf numFmtId="167" fontId="54" fillId="3" borderId="44" xfId="13" applyNumberFormat="1" applyFont="1" applyFill="1" applyBorder="1" applyAlignment="1">
      <alignment horizontal="center" vertical="center" wrapText="1"/>
    </xf>
    <xf numFmtId="0" fontId="54" fillId="0" borderId="12" xfId="13" quotePrefix="1" applyFont="1" applyFill="1" applyBorder="1" applyAlignment="1">
      <alignment horizontal="center" vertical="center" wrapText="1"/>
    </xf>
    <xf numFmtId="41" fontId="54" fillId="0" borderId="12" xfId="1" applyNumberFormat="1" applyFont="1" applyFill="1" applyBorder="1" applyAlignment="1">
      <alignment vertical="center"/>
    </xf>
    <xf numFmtId="0" fontId="5" fillId="0" borderId="12" xfId="13"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xf>
    <xf numFmtId="0" fontId="5" fillId="0" borderId="0" xfId="0" applyFont="1" applyBorder="1" applyAlignment="1">
      <alignment horizontal="center" vertical="center" wrapText="1"/>
    </xf>
    <xf numFmtId="0" fontId="5" fillId="3" borderId="7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4" fillId="0" borderId="0" xfId="0" applyFont="1" applyBorder="1" applyAlignment="1">
      <alignment vertical="center" wrapText="1"/>
    </xf>
    <xf numFmtId="167" fontId="5" fillId="3" borderId="8" xfId="0" applyNumberFormat="1" applyFont="1" applyFill="1" applyBorder="1" applyAlignment="1">
      <alignment horizontal="center" vertical="center"/>
    </xf>
    <xf numFmtId="167" fontId="5" fillId="3" borderId="88" xfId="0" applyNumberFormat="1" applyFont="1" applyFill="1" applyBorder="1" applyAlignment="1">
      <alignment horizontal="center" vertical="center"/>
    </xf>
    <xf numFmtId="0" fontId="5" fillId="0" borderId="0" xfId="0" applyFont="1" applyBorder="1" applyAlignment="1">
      <alignment horizontal="center" vertical="center"/>
    </xf>
    <xf numFmtId="0" fontId="4" fillId="0" borderId="7" xfId="0" applyFont="1" applyBorder="1" applyAlignment="1">
      <alignment horizontal="left" vertical="center" wrapText="1"/>
    </xf>
    <xf numFmtId="0" fontId="4" fillId="0" borderId="6" xfId="0" applyFont="1" applyBorder="1" applyAlignment="1">
      <alignment vertical="center" wrapText="1"/>
    </xf>
    <xf numFmtId="0" fontId="5" fillId="0" borderId="88" xfId="0" applyFont="1" applyBorder="1" applyAlignment="1">
      <alignment horizontal="center" vertical="center" wrapText="1"/>
    </xf>
    <xf numFmtId="167" fontId="5" fillId="3" borderId="138" xfId="0" applyNumberFormat="1" applyFont="1" applyFill="1" applyBorder="1" applyAlignment="1">
      <alignment horizontal="center" vertical="center"/>
    </xf>
    <xf numFmtId="167" fontId="5" fillId="3" borderId="3" xfId="0" applyNumberFormat="1" applyFont="1" applyFill="1" applyBorder="1" applyAlignment="1">
      <alignment horizontal="center" vertical="center"/>
    </xf>
    <xf numFmtId="167" fontId="7" fillId="3" borderId="136" xfId="0" applyNumberFormat="1" applyFont="1" applyFill="1" applyBorder="1"/>
    <xf numFmtId="2" fontId="7" fillId="3" borderId="103" xfId="0" applyNumberFormat="1" applyFont="1" applyFill="1" applyBorder="1" applyAlignment="1">
      <alignment horizontal="center" vertical="center"/>
    </xf>
    <xf numFmtId="0" fontId="7" fillId="0" borderId="23" xfId="0" applyFont="1" applyBorder="1" applyAlignment="1"/>
    <xf numFmtId="0" fontId="7" fillId="0" borderId="23" xfId="0" applyFont="1" applyBorder="1" applyAlignment="1">
      <alignment horizontal="center"/>
    </xf>
    <xf numFmtId="0" fontId="7" fillId="0" borderId="23" xfId="0" applyFont="1" applyBorder="1"/>
    <xf numFmtId="166" fontId="7" fillId="0" borderId="23" xfId="6" applyFont="1" applyBorder="1" applyAlignment="1">
      <alignment horizontal="center" wrapText="1"/>
    </xf>
    <xf numFmtId="0" fontId="7" fillId="0" borderId="54" xfId="0" applyFont="1" applyBorder="1" applyAlignment="1"/>
    <xf numFmtId="166" fontId="7" fillId="0" borderId="74" xfId="6" applyFont="1" applyBorder="1" applyAlignment="1">
      <alignment horizontal="center" wrapText="1"/>
    </xf>
    <xf numFmtId="43" fontId="7" fillId="0" borderId="0" xfId="1" applyFont="1" applyBorder="1" applyAlignment="1"/>
    <xf numFmtId="0" fontId="7" fillId="0" borderId="1" xfId="0" applyFont="1" applyBorder="1" applyAlignment="1">
      <alignment vertical="center" wrapText="1"/>
    </xf>
    <xf numFmtId="0" fontId="7" fillId="0" borderId="0" xfId="0" applyFont="1"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wrapText="1"/>
    </xf>
    <xf numFmtId="167" fontId="7" fillId="0" borderId="11" xfId="0" applyNumberFormat="1" applyFont="1" applyFill="1" applyBorder="1" applyAlignment="1">
      <alignment horizontal="center" vertical="center" wrapText="1"/>
    </xf>
    <xf numFmtId="167" fontId="7" fillId="0" borderId="43" xfId="0" applyNumberFormat="1" applyFont="1" applyFill="1" applyBorder="1" applyAlignment="1">
      <alignment horizontal="center" vertical="center" wrapText="1"/>
    </xf>
    <xf numFmtId="167" fontId="7" fillId="0" borderId="10"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4" fillId="0" borderId="1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7" fillId="0" borderId="0" xfId="0" applyFont="1" applyBorder="1" applyAlignment="1">
      <alignment horizontal="center"/>
    </xf>
    <xf numFmtId="0" fontId="7" fillId="0" borderId="9" xfId="0" applyFont="1" applyBorder="1" applyAlignment="1">
      <alignment horizontal="center"/>
    </xf>
    <xf numFmtId="43" fontId="7" fillId="0" borderId="9" xfId="0" applyNumberFormat="1" applyFont="1" applyBorder="1" applyAlignment="1">
      <alignment horizontal="center" wrapText="1"/>
    </xf>
    <xf numFmtId="0" fontId="8" fillId="0" borderId="18" xfId="0" applyFont="1" applyBorder="1" applyAlignment="1">
      <alignment horizontal="center"/>
    </xf>
    <xf numFmtId="0" fontId="8" fillId="0" borderId="8" xfId="0" applyFont="1" applyBorder="1" applyAlignment="1">
      <alignment horizontal="center" wrapText="1"/>
    </xf>
    <xf numFmtId="0" fontId="8" fillId="0" borderId="18" xfId="0" applyFont="1" applyBorder="1" applyAlignment="1">
      <alignment horizontal="center" wrapText="1"/>
    </xf>
    <xf numFmtId="166" fontId="7" fillId="0" borderId="0" xfId="5" applyFont="1" applyBorder="1" applyAlignment="1">
      <alignment horizont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7" fillId="0" borderId="36" xfId="0" applyFont="1" applyBorder="1" applyAlignment="1">
      <alignment horizontal="justify" vertical="center"/>
    </xf>
    <xf numFmtId="0" fontId="7" fillId="0" borderId="0" xfId="0" applyFont="1" applyBorder="1"/>
    <xf numFmtId="0" fontId="4" fillId="0" borderId="17" xfId="0" applyFont="1" applyBorder="1" applyAlignment="1">
      <alignment horizontal="left" vertical="center" wrapText="1"/>
    </xf>
    <xf numFmtId="0" fontId="4" fillId="0" borderId="12" xfId="0" applyFont="1" applyFill="1" applyBorder="1" applyAlignment="1">
      <alignment horizontal="left" vertical="center" wrapText="1"/>
    </xf>
    <xf numFmtId="0" fontId="3" fillId="0" borderId="150" xfId="0" applyFont="1" applyFill="1" applyBorder="1" applyAlignment="1">
      <alignment horizontal="left" vertical="center"/>
    </xf>
    <xf numFmtId="0" fontId="3" fillId="0" borderId="12" xfId="0" applyFont="1" applyFill="1" applyBorder="1" applyAlignment="1">
      <alignment horizontal="left" vertical="center" wrapText="1"/>
    </xf>
    <xf numFmtId="0" fontId="8" fillId="0" borderId="0" xfId="0" applyFont="1" applyBorder="1" applyAlignment="1">
      <alignment horizontal="center" vertical="center" wrapText="1"/>
    </xf>
    <xf numFmtId="0" fontId="8" fillId="0" borderId="107" xfId="0" applyFont="1" applyBorder="1" applyAlignment="1">
      <alignment horizontal="center" vertical="center" wrapText="1"/>
    </xf>
    <xf numFmtId="0" fontId="7" fillId="0" borderId="0" xfId="0" applyFont="1" applyAlignment="1">
      <alignment horizontal="center" wrapText="1"/>
    </xf>
    <xf numFmtId="0" fontId="4" fillId="0" borderId="0" xfId="0" applyFont="1" applyBorder="1" applyAlignment="1"/>
    <xf numFmtId="0" fontId="5" fillId="3" borderId="136" xfId="0" applyFont="1" applyFill="1" applyBorder="1" applyAlignment="1">
      <alignment horizontal="center" vertical="center" wrapText="1"/>
    </xf>
    <xf numFmtId="167" fontId="5" fillId="3" borderId="88" xfId="0" applyNumberFormat="1" applyFont="1" applyFill="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5" fillId="0" borderId="88" xfId="0" applyFont="1" applyBorder="1" applyAlignment="1">
      <alignment horizontal="center" vertical="center" wrapText="1"/>
    </xf>
    <xf numFmtId="0" fontId="4" fillId="0" borderId="7" xfId="0" applyFont="1" applyBorder="1" applyAlignment="1">
      <alignment horizontal="left" vertical="center" wrapText="1"/>
    </xf>
    <xf numFmtId="0" fontId="4" fillId="0" borderId="6" xfId="0" applyFont="1" applyBorder="1" applyAlignment="1">
      <alignment vertical="center" wrapText="1"/>
    </xf>
    <xf numFmtId="41" fontId="5" fillId="0" borderId="43" xfId="2" applyNumberFormat="1" applyFont="1" applyBorder="1" applyAlignment="1">
      <alignment horizontal="center" vertical="center" wrapText="1"/>
    </xf>
    <xf numFmtId="41" fontId="5" fillId="0" borderId="43" xfId="13" applyNumberFormat="1" applyFont="1" applyBorder="1" applyAlignment="1">
      <alignment horizontal="center" vertical="center" wrapText="1"/>
    </xf>
    <xf numFmtId="41" fontId="7" fillId="0" borderId="43" xfId="2" applyNumberFormat="1" applyFont="1" applyBorder="1" applyAlignment="1">
      <alignment horizontal="center" vertical="center" wrapText="1"/>
    </xf>
    <xf numFmtId="41" fontId="7" fillId="0" borderId="43" xfId="13" applyNumberFormat="1" applyFont="1" applyBorder="1" applyAlignment="1">
      <alignment horizontal="center" vertical="center" wrapText="1"/>
    </xf>
    <xf numFmtId="41" fontId="54" fillId="3" borderId="43" xfId="13" applyNumberFormat="1" applyFont="1" applyFill="1" applyBorder="1" applyAlignment="1">
      <alignment horizontal="center" vertical="center" wrapText="1"/>
    </xf>
    <xf numFmtId="0" fontId="7" fillId="0" borderId="201" xfId="0" applyFont="1" applyBorder="1"/>
    <xf numFmtId="41" fontId="5" fillId="0" borderId="9" xfId="2" applyNumberFormat="1" applyFont="1" applyBorder="1" applyAlignment="1">
      <alignment horizontal="center" vertical="center" wrapText="1"/>
    </xf>
    <xf numFmtId="41" fontId="7" fillId="0" borderId="10" xfId="2" applyNumberFormat="1" applyFont="1" applyBorder="1" applyAlignment="1">
      <alignment horizontal="center" vertical="center" wrapText="1"/>
    </xf>
    <xf numFmtId="41" fontId="5" fillId="0" borderId="10" xfId="2" applyNumberFormat="1" applyFont="1" applyBorder="1" applyAlignment="1">
      <alignment horizontal="center" vertical="center" wrapText="1"/>
    </xf>
    <xf numFmtId="41" fontId="54" fillId="3" borderId="10" xfId="13" applyNumberFormat="1" applyFont="1" applyFill="1" applyBorder="1" applyAlignment="1">
      <alignment horizontal="center" vertical="center" wrapText="1"/>
    </xf>
    <xf numFmtId="0" fontId="7" fillId="3" borderId="16" xfId="1" applyNumberFormat="1" applyFont="1" applyFill="1" applyBorder="1" applyAlignment="1">
      <alignment horizontal="center" vertical="center" wrapText="1"/>
    </xf>
    <xf numFmtId="43" fontId="7" fillId="3" borderId="16" xfId="13" applyNumberFormat="1" applyFont="1" applyFill="1" applyBorder="1" applyAlignment="1">
      <alignment horizontal="center" vertical="center" wrapText="1"/>
    </xf>
    <xf numFmtId="167" fontId="54" fillId="3" borderId="17" xfId="13" applyNumberFormat="1" applyFont="1" applyFill="1" applyBorder="1" applyAlignment="1">
      <alignment horizontal="center" vertical="center" wrapText="1"/>
    </xf>
    <xf numFmtId="41" fontId="54" fillId="3" borderId="201" xfId="13" applyNumberFormat="1" applyFont="1" applyFill="1" applyBorder="1" applyAlignment="1">
      <alignment horizontal="center" vertical="center" wrapText="1"/>
    </xf>
    <xf numFmtId="41" fontId="5" fillId="0" borderId="43" xfId="2" applyNumberFormat="1" applyFont="1" applyBorder="1" applyAlignment="1">
      <alignment horizontal="right" wrapText="1"/>
    </xf>
    <xf numFmtId="41" fontId="5" fillId="0" borderId="11" xfId="13" applyNumberFormat="1" applyFont="1" applyBorder="1" applyAlignment="1">
      <alignment horizontal="right" wrapText="1"/>
    </xf>
    <xf numFmtId="0" fontId="7" fillId="0" borderId="163" xfId="13" applyFont="1" applyBorder="1"/>
    <xf numFmtId="41" fontId="5" fillId="0" borderId="11" xfId="2" applyNumberFormat="1" applyFont="1" applyBorder="1" applyAlignment="1">
      <alignment horizontal="center" wrapText="1"/>
    </xf>
    <xf numFmtId="41" fontId="7" fillId="0" borderId="43" xfId="13" applyNumberFormat="1" applyFont="1" applyBorder="1" applyAlignment="1">
      <alignment horizontal="right" wrapText="1"/>
    </xf>
    <xf numFmtId="41" fontId="7" fillId="0" borderId="11" xfId="13" applyNumberFormat="1" applyFont="1" applyBorder="1" applyAlignment="1">
      <alignment horizontal="right" vertical="top" wrapText="1"/>
    </xf>
    <xf numFmtId="41" fontId="5" fillId="0" borderId="11" xfId="13" applyNumberFormat="1" applyFont="1" applyBorder="1" applyAlignment="1">
      <alignment horizontal="right" vertical="top" wrapText="1"/>
    </xf>
    <xf numFmtId="167" fontId="7" fillId="0" borderId="11" xfId="13" applyNumberFormat="1" applyFont="1" applyBorder="1" applyAlignment="1">
      <alignment horizontal="center" wrapText="1"/>
    </xf>
    <xf numFmtId="41" fontId="5" fillId="0" borderId="12" xfId="13" applyNumberFormat="1" applyFont="1" applyBorder="1" applyAlignment="1">
      <alignment horizontal="right" wrapText="1"/>
    </xf>
    <xf numFmtId="0" fontId="7" fillId="0" borderId="177" xfId="13" applyFont="1" applyBorder="1"/>
    <xf numFmtId="41" fontId="5" fillId="0" borderId="12" xfId="2" applyNumberFormat="1" applyFont="1" applyBorder="1" applyAlignment="1">
      <alignment horizontal="center" wrapText="1"/>
    </xf>
    <xf numFmtId="41" fontId="7" fillId="0" borderId="10" xfId="13" applyNumberFormat="1" applyFont="1" applyBorder="1" applyAlignment="1">
      <alignment horizontal="right" wrapText="1"/>
    </xf>
    <xf numFmtId="41" fontId="7" fillId="0" borderId="12" xfId="13" applyNumberFormat="1" applyFont="1" applyBorder="1" applyAlignment="1">
      <alignment horizontal="right" vertical="top" wrapText="1"/>
    </xf>
    <xf numFmtId="41" fontId="5" fillId="0" borderId="12" xfId="13" applyNumberFormat="1" applyFont="1" applyBorder="1" applyAlignment="1">
      <alignment horizontal="right" vertical="top" wrapText="1"/>
    </xf>
    <xf numFmtId="0" fontId="49" fillId="0" borderId="12" xfId="13" applyFont="1" applyBorder="1" applyAlignment="1">
      <alignment vertical="center" wrapText="1" readingOrder="1"/>
    </xf>
    <xf numFmtId="41" fontId="5" fillId="0" borderId="11" xfId="13" applyNumberFormat="1" applyFont="1" applyBorder="1" applyAlignment="1">
      <alignment horizontal="right" vertical="center" wrapText="1"/>
    </xf>
    <xf numFmtId="41" fontId="5" fillId="0" borderId="12" xfId="13" applyNumberFormat="1" applyFont="1" applyBorder="1" applyAlignment="1">
      <alignment horizontal="right" vertical="center" wrapText="1"/>
    </xf>
    <xf numFmtId="167" fontId="7" fillId="0" borderId="49" xfId="0" applyNumberFormat="1" applyFont="1" applyBorder="1" applyAlignment="1">
      <alignment vertical="center"/>
    </xf>
    <xf numFmtId="41" fontId="7" fillId="0" borderId="43" xfId="13" applyNumberFormat="1" applyFont="1" applyBorder="1" applyAlignment="1">
      <alignment horizontal="right" vertical="center" wrapText="1"/>
    </xf>
    <xf numFmtId="41" fontId="7" fillId="0" borderId="10" xfId="13" applyNumberFormat="1" applyFont="1" applyBorder="1" applyAlignment="1">
      <alignment horizontal="right" vertical="center" wrapText="1"/>
    </xf>
    <xf numFmtId="0" fontId="5" fillId="0" borderId="10" xfId="13" applyFont="1" applyBorder="1" applyAlignment="1">
      <alignment horizontal="left" vertical="center" wrapText="1" readingOrder="1"/>
    </xf>
    <xf numFmtId="0" fontId="5" fillId="0" borderId="10" xfId="13" applyFont="1" applyBorder="1" applyAlignment="1">
      <alignment vertical="center" wrapText="1"/>
    </xf>
    <xf numFmtId="41" fontId="3" fillId="0" borderId="10" xfId="13" applyNumberFormat="1" applyFont="1" applyBorder="1" applyAlignment="1">
      <alignment horizontal="center" vertical="center" wrapText="1"/>
    </xf>
    <xf numFmtId="43" fontId="54" fillId="0" borderId="10" xfId="8" applyNumberFormat="1" applyFont="1" applyBorder="1" applyAlignment="1">
      <alignment horizontal="center" vertical="center" wrapText="1"/>
    </xf>
    <xf numFmtId="167" fontId="55" fillId="0" borderId="10" xfId="8" applyNumberFormat="1" applyFont="1" applyFill="1" applyBorder="1" applyAlignment="1">
      <alignment horizontal="center" vertical="center" wrapText="1"/>
    </xf>
    <xf numFmtId="41" fontId="57" fillId="0" borderId="11" xfId="2" applyFont="1" applyBorder="1" applyAlignment="1">
      <alignment horizontal="center" vertical="center" wrapText="1"/>
    </xf>
    <xf numFmtId="43" fontId="50" fillId="0" borderId="11" xfId="13" applyNumberFormat="1" applyFont="1" applyBorder="1" applyAlignment="1">
      <alignment horizontal="center" vertical="center" wrapText="1"/>
    </xf>
    <xf numFmtId="167" fontId="57" fillId="0" borderId="12" xfId="13" applyNumberFormat="1" applyFont="1" applyBorder="1" applyAlignment="1">
      <alignment horizontal="center" vertical="center" wrapText="1"/>
    </xf>
    <xf numFmtId="0" fontId="57" fillId="0" borderId="11" xfId="2" applyNumberFormat="1" applyFont="1" applyBorder="1" applyAlignment="1">
      <alignment horizontal="center" vertical="center" wrapText="1"/>
    </xf>
    <xf numFmtId="43" fontId="57" fillId="0" borderId="11" xfId="13" applyNumberFormat="1" applyFont="1" applyBorder="1" applyAlignment="1">
      <alignment horizontal="center" vertical="center" wrapText="1"/>
    </xf>
    <xf numFmtId="167" fontId="7" fillId="0" borderId="50" xfId="13" applyNumberFormat="1" applyFont="1" applyBorder="1" applyAlignment="1">
      <alignment horizontal="center" vertical="center" wrapText="1"/>
    </xf>
    <xf numFmtId="167" fontId="57" fillId="0" borderId="47" xfId="13" applyNumberFormat="1" applyFont="1" applyBorder="1" applyAlignment="1">
      <alignment horizontal="center" vertical="center" wrapText="1"/>
    </xf>
    <xf numFmtId="0" fontId="7" fillId="3" borderId="108" xfId="0" applyFont="1" applyFill="1" applyBorder="1" applyAlignment="1">
      <alignment horizontal="center" vertical="center" wrapText="1"/>
    </xf>
    <xf numFmtId="0" fontId="7" fillId="3" borderId="46" xfId="0" quotePrefix="1" applyFont="1" applyFill="1" applyBorder="1" applyAlignment="1">
      <alignment horizontal="center" vertical="center" wrapText="1"/>
    </xf>
    <xf numFmtId="0" fontId="7" fillId="3" borderId="177" xfId="0" quotePrefix="1" applyFont="1" applyFill="1" applyBorder="1" applyAlignment="1">
      <alignment vertical="center" wrapText="1"/>
    </xf>
    <xf numFmtId="0" fontId="7" fillId="3" borderId="177"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50" fillId="3" borderId="177" xfId="0" quotePrefix="1" applyFont="1" applyFill="1" applyBorder="1" applyAlignment="1">
      <alignment vertical="center"/>
    </xf>
    <xf numFmtId="0" fontId="50" fillId="3" borderId="177" xfId="0" applyFont="1" applyFill="1" applyBorder="1" applyAlignment="1">
      <alignment horizontal="center" vertical="center"/>
    </xf>
    <xf numFmtId="41" fontId="50" fillId="3" borderId="177" xfId="3" applyFont="1" applyFill="1" applyBorder="1" applyAlignment="1">
      <alignment vertical="center"/>
    </xf>
    <xf numFmtId="0" fontId="7" fillId="3" borderId="139" xfId="0" applyFont="1" applyFill="1" applyBorder="1" applyAlignment="1">
      <alignment vertical="center"/>
    </xf>
    <xf numFmtId="167" fontId="7" fillId="3" borderId="13" xfId="0" applyNumberFormat="1" applyFont="1" applyFill="1" applyBorder="1" applyAlignment="1">
      <alignment vertical="center"/>
    </xf>
    <xf numFmtId="0" fontId="7" fillId="0" borderId="1" xfId="0" applyFont="1" applyBorder="1" applyAlignment="1">
      <alignment vertical="center" wrapText="1"/>
    </xf>
    <xf numFmtId="0" fontId="7" fillId="0" borderId="0"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7" fillId="0" borderId="0" xfId="0" applyFont="1" applyBorder="1" applyAlignment="1">
      <alignment horizontal="center" wrapText="1"/>
    </xf>
    <xf numFmtId="0" fontId="5" fillId="0" borderId="88" xfId="0" applyFont="1" applyBorder="1" applyAlignment="1">
      <alignment horizontal="center" wrapText="1"/>
    </xf>
    <xf numFmtId="0" fontId="5" fillId="3" borderId="76" xfId="0" applyFont="1" applyFill="1" applyBorder="1" applyAlignment="1">
      <alignment horizontal="center" vertical="center" wrapText="1"/>
    </xf>
    <xf numFmtId="0" fontId="4" fillId="0" borderId="7" xfId="0" applyFont="1" applyBorder="1" applyAlignment="1">
      <alignment horizontal="left" wrapText="1"/>
    </xf>
    <xf numFmtId="0" fontId="4" fillId="0" borderId="6" xfId="0" applyFont="1" applyBorder="1" applyAlignment="1">
      <alignment wrapText="1"/>
    </xf>
    <xf numFmtId="167" fontId="7" fillId="0" borderId="11" xfId="0" applyNumberFormat="1" applyFont="1" applyFill="1" applyBorder="1" applyAlignment="1">
      <alignment horizontal="center" vertical="center" wrapText="1"/>
    </xf>
    <xf numFmtId="167" fontId="7" fillId="0" borderId="43" xfId="0" applyNumberFormat="1" applyFont="1" applyFill="1" applyBorder="1" applyAlignment="1">
      <alignment horizontal="center" vertical="center" wrapText="1"/>
    </xf>
    <xf numFmtId="167" fontId="7" fillId="0" borderId="10" xfId="0" applyNumberFormat="1" applyFont="1" applyFill="1" applyBorder="1" applyAlignment="1">
      <alignment horizontal="center" vertical="center" wrapText="1"/>
    </xf>
    <xf numFmtId="0" fontId="7" fillId="0" borderId="0" xfId="0" applyFont="1" applyBorder="1"/>
    <xf numFmtId="0" fontId="3" fillId="0" borderId="5" xfId="0" applyFont="1" applyBorder="1" applyAlignment="1">
      <alignment horizontal="center" vertical="center"/>
    </xf>
    <xf numFmtId="0" fontId="4" fillId="0" borderId="0" xfId="0" applyFont="1" applyBorder="1" applyAlignment="1">
      <alignment wrapText="1"/>
    </xf>
    <xf numFmtId="0" fontId="3" fillId="0" borderId="5" xfId="0" applyFont="1" applyBorder="1" applyAlignment="1">
      <alignment horizontal="center" vertical="center" wrapText="1"/>
    </xf>
    <xf numFmtId="0" fontId="7" fillId="0" borderId="0" xfId="0" applyFont="1" applyBorder="1" applyAlignment="1">
      <alignment horizontal="center"/>
    </xf>
    <xf numFmtId="0" fontId="4" fillId="0" borderId="7" xfId="0" applyFont="1" applyBorder="1" applyAlignment="1">
      <alignment horizontal="left" vertical="center" wrapText="1"/>
    </xf>
    <xf numFmtId="0" fontId="4" fillId="0" borderId="6" xfId="0" applyFont="1" applyBorder="1" applyAlignment="1">
      <alignment vertical="center" wrapText="1"/>
    </xf>
    <xf numFmtId="0" fontId="4" fillId="0" borderId="0" xfId="0" applyFont="1" applyBorder="1" applyAlignment="1">
      <alignment vertical="center" wrapText="1"/>
    </xf>
    <xf numFmtId="0" fontId="5" fillId="0" borderId="88" xfId="0" applyFont="1" applyBorder="1" applyAlignment="1">
      <alignment horizontal="center" vertical="center" wrapText="1"/>
    </xf>
    <xf numFmtId="167" fontId="5" fillId="3" borderId="88"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11" xfId="13" applyNumberFormat="1" applyFont="1" applyBorder="1" applyAlignment="1">
      <alignment vertical="center" wrapText="1"/>
    </xf>
    <xf numFmtId="0" fontId="7" fillId="0" borderId="11" xfId="1" applyNumberFormat="1" applyFont="1" applyBorder="1" applyAlignment="1">
      <alignment vertical="center" wrapText="1"/>
    </xf>
    <xf numFmtId="0" fontId="7" fillId="0" borderId="87" xfId="0" applyFont="1" applyBorder="1" applyAlignment="1">
      <alignment horizontal="center" vertical="center"/>
    </xf>
    <xf numFmtId="0" fontId="5" fillId="0" borderId="12" xfId="13" applyFont="1" applyBorder="1" applyAlignment="1">
      <alignment horizontal="left" vertical="center" wrapText="1"/>
    </xf>
    <xf numFmtId="2" fontId="7" fillId="0" borderId="141" xfId="0" applyNumberFormat="1" applyFont="1" applyBorder="1" applyAlignment="1">
      <alignment horizontal="center" vertical="center"/>
    </xf>
    <xf numFmtId="0" fontId="54" fillId="0" borderId="11" xfId="13" applyFont="1" applyBorder="1" applyAlignment="1">
      <alignment horizontal="center" vertical="center" wrapText="1"/>
    </xf>
    <xf numFmtId="167" fontId="54" fillId="0" borderId="12" xfId="1" applyNumberFormat="1" applyFont="1" applyBorder="1" applyAlignment="1">
      <alignment horizontal="right" vertical="center" wrapText="1"/>
    </xf>
    <xf numFmtId="0" fontId="7" fillId="0" borderId="177" xfId="0" quotePrefix="1" applyFont="1" applyBorder="1" applyAlignment="1">
      <alignment vertical="center" wrapText="1"/>
    </xf>
    <xf numFmtId="0" fontId="50" fillId="0" borderId="177" xfId="0" quotePrefix="1" applyFont="1" applyBorder="1" applyAlignment="1">
      <alignment vertical="center"/>
    </xf>
    <xf numFmtId="0" fontId="50" fillId="0" borderId="140" xfId="0" applyFont="1" applyBorder="1" applyAlignment="1">
      <alignment horizontal="center" vertical="center"/>
    </xf>
    <xf numFmtId="0" fontId="50" fillId="3" borderId="36" xfId="0" applyFont="1" applyFill="1" applyBorder="1" applyAlignment="1">
      <alignment horizontal="center" vertical="center"/>
    </xf>
    <xf numFmtId="41" fontId="50" fillId="3" borderId="177" xfId="12" applyFont="1" applyFill="1" applyBorder="1" applyAlignment="1">
      <alignment vertical="center"/>
    </xf>
    <xf numFmtId="0" fontId="7" fillId="0" borderId="139" xfId="0" applyFont="1" applyBorder="1" applyAlignment="1">
      <alignment vertical="center"/>
    </xf>
    <xf numFmtId="41" fontId="7" fillId="0" borderId="43" xfId="2" applyNumberFormat="1" applyFont="1" applyBorder="1" applyAlignment="1">
      <alignment horizontal="right" vertical="center" wrapText="1"/>
    </xf>
    <xf numFmtId="41" fontId="5" fillId="0" borderId="9" xfId="2" applyNumberFormat="1" applyFont="1" applyBorder="1" applyAlignment="1">
      <alignment horizontal="right" vertical="center" wrapText="1"/>
    </xf>
    <xf numFmtId="41" fontId="5" fillId="0" borderId="10" xfId="13" applyNumberFormat="1" applyFont="1" applyBorder="1" applyAlignment="1">
      <alignment horizontal="right" vertical="center" wrapText="1"/>
    </xf>
    <xf numFmtId="41" fontId="54" fillId="3" borderId="10" xfId="2" applyNumberFormat="1" applyFont="1" applyFill="1" applyBorder="1" applyAlignment="1">
      <alignment horizontal="right" vertical="center" wrapText="1"/>
    </xf>
    <xf numFmtId="2" fontId="7" fillId="0" borderId="62" xfId="0" applyNumberFormat="1" applyFont="1" applyBorder="1" applyAlignment="1">
      <alignment horizontal="center" vertical="center"/>
    </xf>
    <xf numFmtId="0" fontId="3" fillId="0" borderId="89" xfId="0" quotePrefix="1" applyFont="1" applyFill="1" applyBorder="1" applyAlignment="1">
      <alignment horizontal="center" vertical="center"/>
    </xf>
    <xf numFmtId="0" fontId="54" fillId="0" borderId="43" xfId="13" applyFont="1" applyBorder="1" applyAlignment="1">
      <alignment horizontal="center" vertical="center" wrapText="1"/>
    </xf>
    <xf numFmtId="0" fontId="54" fillId="0" borderId="12" xfId="13" applyNumberFormat="1" applyFont="1" applyBorder="1" applyAlignment="1">
      <alignment horizontal="center" vertical="center" wrapText="1"/>
    </xf>
    <xf numFmtId="0" fontId="50" fillId="0" borderId="139" xfId="0" applyFont="1" applyBorder="1" applyAlignment="1">
      <alignment horizontal="center" vertical="center"/>
    </xf>
    <xf numFmtId="41" fontId="50" fillId="0" borderId="139" xfId="12" applyFont="1" applyBorder="1" applyAlignment="1">
      <alignment vertical="center"/>
    </xf>
    <xf numFmtId="167" fontId="7" fillId="0" borderId="1" xfId="0" applyNumberFormat="1" applyFont="1" applyFill="1" applyBorder="1" applyAlignment="1">
      <alignment horizontal="center" vertical="center" wrapText="1"/>
    </xf>
    <xf numFmtId="0" fontId="50" fillId="3" borderId="139" xfId="0" applyFont="1" applyFill="1" applyBorder="1" applyAlignment="1">
      <alignment horizontal="center" vertical="center"/>
    </xf>
    <xf numFmtId="0" fontId="4" fillId="0" borderId="7" xfId="0" applyFont="1" applyBorder="1" applyAlignment="1">
      <alignment horizontal="left" wrapText="1"/>
    </xf>
    <xf numFmtId="0" fontId="4" fillId="0" borderId="6" xfId="0" applyFont="1" applyBorder="1" applyAlignment="1">
      <alignment wrapText="1"/>
    </xf>
    <xf numFmtId="0" fontId="5" fillId="0" borderId="88" xfId="0" applyFont="1" applyBorder="1" applyAlignment="1">
      <alignment horizontal="center" wrapText="1"/>
    </xf>
    <xf numFmtId="0" fontId="5" fillId="0" borderId="0"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167" fontId="7" fillId="0" borderId="11" xfId="0" applyNumberFormat="1" applyFont="1" applyFill="1" applyBorder="1" applyAlignment="1">
      <alignment horizontal="center" vertical="center" wrapText="1"/>
    </xf>
    <xf numFmtId="167" fontId="7" fillId="0" borderId="43" xfId="0" applyNumberFormat="1" applyFont="1" applyFill="1" applyBorder="1" applyAlignment="1">
      <alignment horizontal="center" vertical="center" wrapText="1"/>
    </xf>
    <xf numFmtId="167" fontId="7" fillId="0" borderId="10" xfId="0" applyNumberFormat="1" applyFont="1" applyFill="1" applyBorder="1" applyAlignment="1">
      <alignment horizontal="center" vertical="center" wrapText="1"/>
    </xf>
    <xf numFmtId="0" fontId="7" fillId="0" borderId="0" xfId="0" applyFont="1" applyBorder="1" applyAlignment="1">
      <alignment horizontal="center"/>
    </xf>
    <xf numFmtId="0" fontId="4" fillId="0" borderId="0" xfId="0" applyFont="1" applyBorder="1" applyAlignment="1">
      <alignment wrapText="1"/>
    </xf>
    <xf numFmtId="0" fontId="7" fillId="0" borderId="0" xfId="0" applyFont="1" applyBorder="1"/>
    <xf numFmtId="0" fontId="4" fillId="0" borderId="12" xfId="0" applyFont="1" applyFill="1" applyBorder="1" applyAlignment="1">
      <alignment horizontal="left" vertical="center" wrapText="1"/>
    </xf>
    <xf numFmtId="167" fontId="5" fillId="3" borderId="88" xfId="0" applyNumberFormat="1" applyFont="1" applyFill="1" applyBorder="1" applyAlignment="1">
      <alignment horizontal="center" vertical="center"/>
    </xf>
    <xf numFmtId="0" fontId="54" fillId="0" borderId="11" xfId="0" applyNumberFormat="1" applyFont="1" applyBorder="1" applyAlignment="1">
      <alignment horizontal="center" vertical="center" wrapText="1"/>
    </xf>
    <xf numFmtId="0" fontId="54" fillId="0" borderId="12" xfId="0" applyNumberFormat="1" applyFont="1" applyBorder="1" applyAlignment="1">
      <alignment horizontal="center" vertical="center" wrapText="1"/>
    </xf>
    <xf numFmtId="0" fontId="7" fillId="0" borderId="12" xfId="0" quotePrefix="1" applyFont="1" applyBorder="1" applyAlignment="1">
      <alignment wrapText="1"/>
    </xf>
    <xf numFmtId="41" fontId="5" fillId="0" borderId="62" xfId="0" applyNumberFormat="1" applyFont="1" applyBorder="1" applyAlignment="1">
      <alignment horizontal="center" wrapText="1"/>
    </xf>
    <xf numFmtId="0" fontId="55" fillId="0" borderId="50" xfId="0" applyFont="1" applyBorder="1" applyAlignment="1">
      <alignment wrapText="1" readingOrder="1"/>
    </xf>
    <xf numFmtId="0" fontId="54" fillId="0" borderId="11" xfId="1" applyNumberFormat="1" applyFont="1" applyBorder="1" applyAlignment="1">
      <alignment horizontal="center" vertical="center" wrapText="1"/>
    </xf>
    <xf numFmtId="43" fontId="56" fillId="0" borderId="12" xfId="0" applyNumberFormat="1" applyFont="1" applyBorder="1" applyAlignment="1">
      <alignment horizontal="center" wrapText="1"/>
    </xf>
    <xf numFmtId="43" fontId="56" fillId="0" borderId="10" xfId="0" applyNumberFormat="1" applyFont="1" applyBorder="1" applyAlignment="1">
      <alignment horizontal="center" wrapText="1"/>
    </xf>
    <xf numFmtId="0" fontId="54" fillId="0" borderId="50" xfId="0" applyFont="1" applyBorder="1" applyAlignment="1">
      <alignment wrapText="1" readingOrder="1"/>
    </xf>
    <xf numFmtId="43" fontId="54" fillId="0" borderId="12" xfId="0" applyNumberFormat="1" applyFont="1" applyBorder="1" applyAlignment="1">
      <alignment horizontal="center" wrapText="1"/>
    </xf>
    <xf numFmtId="43" fontId="54" fillId="0" borderId="10" xfId="0" applyNumberFormat="1" applyFont="1" applyBorder="1" applyAlignment="1">
      <alignment horizontal="center" wrapText="1"/>
    </xf>
    <xf numFmtId="0" fontId="54" fillId="3" borderId="50" xfId="0" quotePrefix="1" applyFont="1" applyFill="1" applyBorder="1" applyAlignment="1">
      <alignment horizontal="left" vertical="center" wrapText="1" readingOrder="1"/>
    </xf>
    <xf numFmtId="0" fontId="54" fillId="3" borderId="52" xfId="1" applyNumberFormat="1" applyFont="1" applyFill="1" applyBorder="1" applyAlignment="1">
      <alignment horizontal="center" vertical="center" wrapText="1"/>
    </xf>
    <xf numFmtId="43" fontId="54" fillId="3" borderId="50" xfId="0" applyNumberFormat="1" applyFont="1" applyFill="1" applyBorder="1" applyAlignment="1">
      <alignment horizontal="center" vertical="center" wrapText="1"/>
    </xf>
    <xf numFmtId="167" fontId="54" fillId="3" borderId="50" xfId="0" applyNumberFormat="1" applyFont="1" applyFill="1" applyBorder="1" applyAlignment="1">
      <alignment horizontal="center" vertical="center" wrapText="1"/>
    </xf>
    <xf numFmtId="0" fontId="54" fillId="3" borderId="50" xfId="0" applyFont="1" applyFill="1" applyBorder="1" applyAlignment="1">
      <alignment wrapText="1" readingOrder="1"/>
    </xf>
    <xf numFmtId="0" fontId="54" fillId="3" borderId="11" xfId="1" applyNumberFormat="1" applyFont="1" applyFill="1" applyBorder="1" applyAlignment="1">
      <alignment horizontal="center" vertical="center" wrapText="1"/>
    </xf>
    <xf numFmtId="43" fontId="54" fillId="3" borderId="12" xfId="0" applyNumberFormat="1" applyFont="1" applyFill="1" applyBorder="1" applyAlignment="1">
      <alignment horizontal="center" wrapText="1"/>
    </xf>
    <xf numFmtId="43" fontId="54" fillId="3" borderId="10" xfId="0" applyNumberFormat="1" applyFont="1" applyFill="1" applyBorder="1" applyAlignment="1">
      <alignment horizontal="center" wrapText="1"/>
    </xf>
    <xf numFmtId="0" fontId="54" fillId="3" borderId="50" xfId="0" quotePrefix="1" applyFont="1" applyFill="1" applyBorder="1" applyAlignment="1">
      <alignment wrapText="1" readingOrder="1"/>
    </xf>
    <xf numFmtId="167" fontId="54" fillId="3" borderId="10" xfId="0" applyNumberFormat="1" applyFont="1" applyFill="1" applyBorder="1" applyAlignment="1">
      <alignment horizontal="center" wrapText="1"/>
    </xf>
    <xf numFmtId="0" fontId="54" fillId="3" borderId="50" xfId="0" applyFont="1" applyFill="1" applyBorder="1" applyAlignment="1">
      <alignment vertical="center" wrapText="1" readingOrder="1"/>
    </xf>
    <xf numFmtId="43" fontId="54" fillId="3" borderId="12" xfId="0" applyNumberFormat="1" applyFont="1" applyFill="1" applyBorder="1" applyAlignment="1">
      <alignment horizontal="center" vertical="center" wrapText="1"/>
    </xf>
    <xf numFmtId="43" fontId="54" fillId="3" borderId="10" xfId="0" applyNumberFormat="1" applyFont="1" applyFill="1" applyBorder="1" applyAlignment="1">
      <alignment horizontal="center" vertical="center" wrapText="1"/>
    </xf>
    <xf numFmtId="0" fontId="54" fillId="3" borderId="50" xfId="0" quotePrefix="1" applyFont="1" applyFill="1" applyBorder="1" applyAlignment="1">
      <alignment vertical="center" wrapText="1" readingOrder="1"/>
    </xf>
    <xf numFmtId="167" fontId="54" fillId="3" borderId="10" xfId="0" applyNumberFormat="1" applyFont="1" applyFill="1" applyBorder="1" applyAlignment="1">
      <alignment horizontal="center" vertical="center" wrapText="1"/>
    </xf>
    <xf numFmtId="0" fontId="7" fillId="0" borderId="12" xfId="0" applyFont="1" applyBorder="1" applyAlignment="1">
      <alignment wrapText="1"/>
    </xf>
    <xf numFmtId="0" fontId="5" fillId="0" borderId="12" xfId="0" applyFont="1" applyBorder="1" applyAlignment="1">
      <alignment readingOrder="1"/>
    </xf>
    <xf numFmtId="0" fontId="6" fillId="0" borderId="10" xfId="0" applyFont="1" applyBorder="1" applyAlignment="1">
      <alignment horizontal="left" wrapText="1" readingOrder="1"/>
    </xf>
    <xf numFmtId="0" fontId="7" fillId="0" borderId="10" xfId="0" applyFont="1" applyBorder="1" applyAlignment="1">
      <alignment horizontal="left" wrapText="1" readingOrder="1"/>
    </xf>
    <xf numFmtId="0" fontId="5" fillId="0" borderId="12" xfId="0" applyFont="1" applyBorder="1" applyAlignment="1">
      <alignment wrapText="1"/>
    </xf>
    <xf numFmtId="0" fontId="5" fillId="0" borderId="45" xfId="0" applyFont="1" applyBorder="1" applyAlignment="1">
      <alignment horizontal="center" wrapText="1"/>
    </xf>
    <xf numFmtId="0" fontId="5" fillId="0" borderId="44" xfId="0" applyFont="1" applyBorder="1" applyAlignment="1">
      <alignment horizontal="center" wrapText="1"/>
    </xf>
    <xf numFmtId="0" fontId="7" fillId="0" borderId="47" xfId="0" applyFont="1" applyBorder="1" applyAlignment="1">
      <alignment wrapText="1" readingOrder="1"/>
    </xf>
    <xf numFmtId="0" fontId="5" fillId="0" borderId="10" xfId="0" applyFont="1" applyBorder="1" applyAlignment="1">
      <alignment horizontal="center" wrapText="1"/>
    </xf>
    <xf numFmtId="43" fontId="7" fillId="0" borderId="10" xfId="0" applyNumberFormat="1" applyFont="1" applyBorder="1" applyAlignment="1">
      <alignment horizontal="center" wrapText="1"/>
    </xf>
    <xf numFmtId="43" fontId="57" fillId="0" borderId="12" xfId="0" applyNumberFormat="1" applyFont="1" applyBorder="1" applyAlignment="1">
      <alignment horizontal="center" wrapText="1"/>
    </xf>
    <xf numFmtId="43" fontId="57" fillId="0" borderId="10" xfId="0" applyNumberFormat="1" applyFont="1" applyBorder="1" applyAlignment="1">
      <alignment horizontal="center" wrapText="1"/>
    </xf>
    <xf numFmtId="43" fontId="7" fillId="3" borderId="12" xfId="0" applyNumberFormat="1" applyFont="1" applyFill="1" applyBorder="1" applyAlignment="1">
      <alignment horizontal="center" vertical="center" wrapText="1"/>
    </xf>
    <xf numFmtId="43" fontId="7" fillId="3" borderId="12" xfId="0" applyNumberFormat="1" applyFont="1" applyFill="1" applyBorder="1" applyAlignment="1">
      <alignment horizontal="center" wrapText="1"/>
    </xf>
    <xf numFmtId="167" fontId="7" fillId="3" borderId="10" xfId="0" applyNumberFormat="1" applyFont="1" applyFill="1" applyBorder="1" applyAlignment="1">
      <alignment horizontal="center" wrapText="1"/>
    </xf>
    <xf numFmtId="167" fontId="7" fillId="3" borderId="43" xfId="0" applyNumberFormat="1" applyFont="1" applyFill="1" applyBorder="1" applyAlignment="1">
      <alignment horizontal="center" wrapText="1"/>
    </xf>
    <xf numFmtId="43" fontId="7" fillId="3" borderId="10" xfId="0" applyNumberFormat="1" applyFont="1" applyFill="1" applyBorder="1" applyAlignment="1">
      <alignment horizontal="center" wrapText="1"/>
    </xf>
    <xf numFmtId="167" fontId="7" fillId="0" borderId="0" xfId="0" applyNumberFormat="1" applyFont="1" applyBorder="1" applyAlignment="1">
      <alignment horizontal="center" wrapText="1"/>
    </xf>
    <xf numFmtId="0" fontId="7" fillId="3" borderId="61" xfId="0" applyFont="1" applyFill="1" applyBorder="1" applyAlignment="1">
      <alignment horizontal="center" wrapText="1"/>
    </xf>
    <xf numFmtId="0" fontId="7" fillId="3" borderId="10" xfId="0" quotePrefix="1" applyFont="1" applyFill="1" applyBorder="1" applyAlignment="1">
      <alignment horizontal="center" wrapText="1"/>
    </xf>
    <xf numFmtId="0" fontId="7" fillId="3" borderId="12" xfId="0" quotePrefix="1" applyFont="1" applyFill="1" applyBorder="1" applyAlignment="1">
      <alignment wrapText="1"/>
    </xf>
    <xf numFmtId="0" fontId="7" fillId="3" borderId="12" xfId="0" applyFont="1" applyFill="1" applyBorder="1" applyAlignment="1">
      <alignment horizontal="center" wrapText="1"/>
    </xf>
    <xf numFmtId="0" fontId="7" fillId="3" borderId="10" xfId="0" applyFont="1" applyFill="1" applyBorder="1" applyAlignment="1">
      <alignment horizontal="center" wrapText="1"/>
    </xf>
    <xf numFmtId="0" fontId="50" fillId="0" borderId="177" xfId="0" quotePrefix="1" applyFont="1" applyBorder="1"/>
    <xf numFmtId="41" fontId="50" fillId="0" borderId="177" xfId="12" applyFont="1" applyBorder="1"/>
    <xf numFmtId="41" fontId="50" fillId="3" borderId="177" xfId="12" applyFont="1" applyFill="1" applyBorder="1"/>
    <xf numFmtId="0" fontId="54" fillId="3" borderId="11" xfId="1" applyNumberFormat="1" applyFont="1" applyFill="1" applyBorder="1" applyAlignment="1">
      <alignment horizontal="center" vertical="center" wrapText="1" readingOrder="1"/>
    </xf>
    <xf numFmtId="43" fontId="54" fillId="3" borderId="12" xfId="0" applyNumberFormat="1" applyFont="1" applyFill="1" applyBorder="1" applyAlignment="1">
      <alignment horizontal="center" vertical="center" wrapText="1" readingOrder="1"/>
    </xf>
    <xf numFmtId="167" fontId="54" fillId="3" borderId="10" xfId="0" applyNumberFormat="1" applyFont="1" applyFill="1" applyBorder="1" applyAlignment="1">
      <alignment horizontal="center" vertical="center" wrapText="1" readingOrder="1"/>
    </xf>
    <xf numFmtId="0" fontId="54" fillId="3" borderId="12" xfId="0" quotePrefix="1" applyFont="1" applyFill="1" applyBorder="1" applyAlignment="1">
      <alignment vertical="center" wrapText="1" readingOrder="1"/>
    </xf>
    <xf numFmtId="167" fontId="55" fillId="0" borderId="43" xfId="0" applyNumberFormat="1" applyFont="1" applyBorder="1" applyAlignment="1">
      <alignment horizontal="center" wrapText="1"/>
    </xf>
    <xf numFmtId="167" fontId="54" fillId="0" borderId="43" xfId="0" applyNumberFormat="1" applyFont="1" applyBorder="1" applyAlignment="1">
      <alignment horizontal="center" wrapText="1"/>
    </xf>
    <xf numFmtId="167" fontId="54" fillId="3" borderId="52" xfId="0" applyNumberFormat="1" applyFont="1" applyFill="1" applyBorder="1" applyAlignment="1">
      <alignment horizontal="center" vertical="center" wrapText="1"/>
    </xf>
    <xf numFmtId="167" fontId="54" fillId="3" borderId="43" xfId="0" applyNumberFormat="1" applyFont="1" applyFill="1" applyBorder="1" applyAlignment="1">
      <alignment horizontal="center" wrapText="1"/>
    </xf>
    <xf numFmtId="167" fontId="54" fillId="3" borderId="43" xfId="0" applyNumberFormat="1" applyFont="1" applyFill="1" applyBorder="1" applyAlignment="1">
      <alignment horizontal="center" vertical="center" wrapText="1" readingOrder="1"/>
    </xf>
    <xf numFmtId="167" fontId="54" fillId="3" borderId="43" xfId="0" applyNumberFormat="1" applyFont="1" applyFill="1" applyBorder="1" applyAlignment="1">
      <alignment horizontal="center" vertical="center" wrapText="1"/>
    </xf>
    <xf numFmtId="0" fontId="7" fillId="3" borderId="12" xfId="1" applyNumberFormat="1" applyFont="1" applyFill="1" applyBorder="1" applyAlignment="1">
      <alignment horizontal="center" vertical="center" wrapText="1"/>
    </xf>
    <xf numFmtId="0" fontId="7" fillId="0" borderId="12" xfId="1" applyNumberFormat="1" applyFont="1" applyBorder="1" applyAlignment="1">
      <alignment horizontal="center" vertical="center" wrapText="1"/>
    </xf>
    <xf numFmtId="0" fontId="7" fillId="3" borderId="12" xfId="1" applyNumberFormat="1" applyFont="1" applyFill="1" applyBorder="1" applyAlignment="1">
      <alignment horizontal="center" wrapText="1"/>
    </xf>
    <xf numFmtId="0" fontId="7" fillId="0" borderId="12" xfId="1" applyNumberFormat="1" applyFont="1" applyBorder="1" applyAlignment="1">
      <alignment horizontal="center" wrapText="1"/>
    </xf>
    <xf numFmtId="0" fontId="7" fillId="0" borderId="53" xfId="0" applyFont="1" applyBorder="1" applyAlignment="1">
      <alignment horizontal="center" wrapText="1"/>
    </xf>
    <xf numFmtId="0" fontId="7" fillId="0" borderId="3" xfId="0" applyFont="1" applyBorder="1" applyAlignment="1">
      <alignment horizontal="center" wrapText="1"/>
    </xf>
    <xf numFmtId="0" fontId="54" fillId="0" borderId="12" xfId="8" applyFont="1" applyBorder="1" applyAlignment="1">
      <alignment horizontal="center" wrapText="1"/>
    </xf>
    <xf numFmtId="0" fontId="54" fillId="0" borderId="10" xfId="8" applyFont="1" applyBorder="1" applyAlignment="1">
      <alignment horizontal="center" wrapText="1"/>
    </xf>
    <xf numFmtId="0" fontId="55" fillId="0" borderId="12" xfId="8" applyFont="1" applyBorder="1" applyAlignment="1">
      <alignment readingOrder="1"/>
    </xf>
    <xf numFmtId="43" fontId="54" fillId="0" borderId="12" xfId="8" applyNumberFormat="1" applyFont="1" applyBorder="1" applyAlignment="1">
      <alignment horizontal="center" wrapText="1"/>
    </xf>
    <xf numFmtId="43" fontId="54" fillId="0" borderId="10" xfId="8" applyNumberFormat="1" applyFont="1" applyBorder="1" applyAlignment="1">
      <alignment horizontal="center" wrapText="1"/>
    </xf>
    <xf numFmtId="167" fontId="55" fillId="0" borderId="62" xfId="8" applyNumberFormat="1" applyFont="1" applyBorder="1" applyAlignment="1">
      <alignment horizontal="center" wrapText="1"/>
    </xf>
    <xf numFmtId="0" fontId="54" fillId="0" borderId="10" xfId="8" quotePrefix="1" applyFont="1" applyBorder="1" applyAlignment="1">
      <alignment horizontal="center" wrapText="1"/>
    </xf>
    <xf numFmtId="0" fontId="55" fillId="0" borderId="50" xfId="8" applyFont="1" applyBorder="1" applyAlignment="1">
      <alignment wrapText="1" readingOrder="1"/>
    </xf>
    <xf numFmtId="43" fontId="56" fillId="0" borderId="12" xfId="8" applyNumberFormat="1" applyFont="1" applyBorder="1" applyAlignment="1">
      <alignment horizontal="center" wrapText="1"/>
    </xf>
    <xf numFmtId="43" fontId="56" fillId="0" borderId="10" xfId="8" applyNumberFormat="1" applyFont="1" applyBorder="1" applyAlignment="1">
      <alignment horizontal="center" wrapText="1"/>
    </xf>
    <xf numFmtId="0" fontId="55" fillId="0" borderId="12" xfId="8" applyFont="1" applyFill="1" applyBorder="1" applyAlignment="1">
      <alignment horizontal="left" wrapText="1"/>
    </xf>
    <xf numFmtId="43" fontId="54" fillId="0" borderId="11" xfId="8" applyNumberFormat="1" applyFont="1" applyFill="1" applyBorder="1" applyAlignment="1">
      <alignment horizontal="center" wrapText="1"/>
    </xf>
    <xf numFmtId="43" fontId="54" fillId="0" borderId="12" xfId="8" applyNumberFormat="1" applyFont="1" applyFill="1" applyBorder="1" applyAlignment="1">
      <alignment horizontal="center" wrapText="1"/>
    </xf>
    <xf numFmtId="167" fontId="55" fillId="0" borderId="62" xfId="8" applyNumberFormat="1" applyFont="1" applyFill="1" applyBorder="1" applyAlignment="1">
      <alignment horizontal="center" wrapText="1"/>
    </xf>
    <xf numFmtId="0" fontId="54" fillId="0" borderId="61" xfId="8" applyFont="1" applyBorder="1" applyAlignment="1">
      <alignment horizontal="center" wrapText="1"/>
    </xf>
    <xf numFmtId="0" fontId="54" fillId="0" borderId="10" xfId="8" quotePrefix="1" applyFont="1" applyBorder="1" applyAlignment="1">
      <alignment wrapText="1"/>
    </xf>
    <xf numFmtId="0" fontId="54" fillId="0" borderId="12" xfId="8" quotePrefix="1" applyFont="1" applyBorder="1" applyAlignment="1">
      <alignment horizontal="center" wrapText="1"/>
    </xf>
    <xf numFmtId="0" fontId="51" fillId="0" borderId="0" xfId="0" applyFont="1" applyAlignment="1">
      <alignment wrapText="1"/>
    </xf>
    <xf numFmtId="167" fontId="54" fillId="3" borderId="62" xfId="8" applyNumberFormat="1" applyFont="1" applyFill="1" applyBorder="1" applyAlignment="1">
      <alignment horizontal="center" vertical="center" wrapText="1"/>
    </xf>
    <xf numFmtId="0" fontId="54" fillId="0" borderId="46" xfId="8" applyFont="1" applyBorder="1" applyAlignment="1">
      <alignment horizontal="center" wrapText="1"/>
    </xf>
    <xf numFmtId="0" fontId="54" fillId="0" borderId="46" xfId="8" quotePrefix="1" applyFont="1" applyBorder="1" applyAlignment="1">
      <alignment horizontal="center" wrapText="1"/>
    </xf>
    <xf numFmtId="0" fontId="54" fillId="0" borderId="10" xfId="8" quotePrefix="1" applyFont="1" applyFill="1" applyBorder="1" applyAlignment="1">
      <alignment horizontal="left" wrapText="1"/>
    </xf>
    <xf numFmtId="43" fontId="54" fillId="3" borderId="11" xfId="8" applyNumberFormat="1" applyFont="1" applyFill="1" applyBorder="1" applyAlignment="1">
      <alignment horizontal="center" wrapText="1"/>
    </xf>
    <xf numFmtId="167" fontId="54" fillId="3" borderId="12" xfId="8" applyNumberFormat="1" applyFont="1" applyFill="1" applyBorder="1" applyAlignment="1">
      <alignment horizontal="center" wrapText="1"/>
    </xf>
    <xf numFmtId="167" fontId="54" fillId="3" borderId="62" xfId="8" applyNumberFormat="1" applyFont="1" applyFill="1" applyBorder="1" applyAlignment="1">
      <alignment horizontal="center" wrapText="1"/>
    </xf>
    <xf numFmtId="0" fontId="5" fillId="0" borderId="10" xfId="0" applyFont="1" applyBorder="1" applyAlignment="1">
      <alignment horizontal="left" wrapText="1" readingOrder="1"/>
    </xf>
    <xf numFmtId="41" fontId="57" fillId="0" borderId="11" xfId="2" applyFont="1" applyBorder="1" applyAlignment="1">
      <alignment horizontal="center" wrapText="1"/>
    </xf>
    <xf numFmtId="43" fontId="50" fillId="0" borderId="11" xfId="0" applyNumberFormat="1" applyFont="1" applyBorder="1" applyAlignment="1">
      <alignment horizontal="center" wrapText="1"/>
    </xf>
    <xf numFmtId="167" fontId="57" fillId="0" borderId="12" xfId="0" applyNumberFormat="1" applyFont="1" applyBorder="1" applyAlignment="1">
      <alignment horizontal="center" wrapText="1"/>
    </xf>
    <xf numFmtId="41" fontId="7" fillId="0" borderId="62" xfId="0" applyNumberFormat="1" applyFont="1" applyBorder="1" applyAlignment="1">
      <alignment horizontal="center" wrapText="1"/>
    </xf>
    <xf numFmtId="0" fontId="58" fillId="0" borderId="47" xfId="0" quotePrefix="1" applyFont="1" applyBorder="1" applyAlignment="1">
      <alignment wrapText="1" readingOrder="1"/>
    </xf>
    <xf numFmtId="41" fontId="7" fillId="0" borderId="62" xfId="0" applyNumberFormat="1" applyFont="1" applyBorder="1" applyAlignment="1">
      <alignment horizontal="center" vertical="center" wrapText="1"/>
    </xf>
    <xf numFmtId="0" fontId="58" fillId="0" borderId="47" xfId="0" quotePrefix="1" applyFont="1" applyBorder="1" applyAlignment="1">
      <alignment vertical="center" wrapText="1" readingOrder="1"/>
    </xf>
    <xf numFmtId="0" fontId="57" fillId="0" borderId="11" xfId="2" applyNumberFormat="1" applyFont="1" applyBorder="1" applyAlignment="1">
      <alignment horizontal="center" wrapText="1"/>
    </xf>
    <xf numFmtId="43" fontId="57" fillId="0" borderId="11" xfId="0" applyNumberFormat="1" applyFont="1" applyBorder="1" applyAlignment="1">
      <alignment horizontal="center" wrapText="1"/>
    </xf>
    <xf numFmtId="0" fontId="7" fillId="0" borderId="11" xfId="2" applyNumberFormat="1" applyFont="1" applyBorder="1" applyAlignment="1">
      <alignment horizontal="center" wrapText="1"/>
    </xf>
    <xf numFmtId="0" fontId="52" fillId="0" borderId="47" xfId="0" quotePrefix="1" applyFont="1" applyBorder="1" applyAlignment="1">
      <alignment readingOrder="1"/>
    </xf>
    <xf numFmtId="0" fontId="7" fillId="0" borderId="47" xfId="0" applyFont="1" applyBorder="1" applyAlignment="1">
      <alignment horizontal="left"/>
    </xf>
    <xf numFmtId="0" fontId="7" fillId="0" borderId="11" xfId="0" applyNumberFormat="1" applyFont="1" applyBorder="1" applyAlignment="1">
      <alignment horizontal="center" wrapText="1"/>
    </xf>
    <xf numFmtId="41" fontId="7" fillId="0" borderId="68" xfId="0" applyNumberFormat="1" applyFont="1" applyBorder="1" applyAlignment="1">
      <alignment horizontal="center" wrapText="1"/>
    </xf>
    <xf numFmtId="0" fontId="7" fillId="0" borderId="177" xfId="0" quotePrefix="1" applyFont="1" applyFill="1" applyBorder="1" applyAlignment="1">
      <alignment horizontal="left" wrapText="1"/>
    </xf>
    <xf numFmtId="41" fontId="7" fillId="0" borderId="68" xfId="0" applyNumberFormat="1" applyFont="1" applyBorder="1" applyAlignment="1">
      <alignment horizontal="center" vertical="center" wrapText="1"/>
    </xf>
    <xf numFmtId="0" fontId="49" fillId="0" borderId="50" xfId="0" applyFont="1" applyBorder="1" applyAlignment="1">
      <alignment wrapText="1" readingOrder="1"/>
    </xf>
    <xf numFmtId="0" fontId="58" fillId="0" borderId="50" xfId="0" applyFont="1" applyBorder="1" applyAlignment="1">
      <alignment readingOrder="1"/>
    </xf>
    <xf numFmtId="0" fontId="51" fillId="0" borderId="173" xfId="0" applyFont="1" applyBorder="1" applyAlignment="1">
      <alignment vertical="center" wrapText="1"/>
    </xf>
    <xf numFmtId="0" fontId="51" fillId="0" borderId="175" xfId="0" applyFont="1" applyBorder="1" applyAlignment="1">
      <alignment horizontal="center" vertical="center" wrapText="1"/>
    </xf>
    <xf numFmtId="0" fontId="51" fillId="0" borderId="173" xfId="0" applyFont="1" applyBorder="1" applyAlignment="1">
      <alignment horizontal="center" vertical="center" wrapText="1"/>
    </xf>
    <xf numFmtId="0" fontId="7" fillId="0" borderId="50" xfId="0" applyFont="1" applyBorder="1" applyAlignment="1">
      <alignment horizontal="center" wrapText="1"/>
    </xf>
    <xf numFmtId="0" fontId="7" fillId="0" borderId="101" xfId="0" applyFont="1" applyBorder="1" applyAlignment="1">
      <alignment horizontal="center" wrapText="1"/>
    </xf>
    <xf numFmtId="0" fontId="7" fillId="3" borderId="103" xfId="0" applyFont="1" applyFill="1" applyBorder="1" applyAlignment="1">
      <alignment horizontal="center" vertical="center"/>
    </xf>
    <xf numFmtId="0" fontId="51" fillId="0" borderId="192" xfId="0" applyFont="1" applyBorder="1" applyAlignment="1">
      <alignment vertical="center" wrapText="1"/>
    </xf>
    <xf numFmtId="0" fontId="50" fillId="3" borderId="50" xfId="0" applyFont="1" applyFill="1" applyBorder="1" applyAlignment="1">
      <alignment horizontal="center"/>
    </xf>
    <xf numFmtId="0" fontId="7" fillId="3" borderId="50" xfId="0" applyFont="1" applyFill="1" applyBorder="1"/>
    <xf numFmtId="167" fontId="5" fillId="3" borderId="163" xfId="0" applyNumberFormat="1" applyFont="1" applyFill="1" applyBorder="1" applyAlignment="1">
      <alignment horizontal="center" vertical="center"/>
    </xf>
    <xf numFmtId="167" fontId="5" fillId="3" borderId="0" xfId="0" applyNumberFormat="1" applyFont="1" applyFill="1" applyBorder="1" applyAlignment="1">
      <alignment horizontal="center" vertical="center"/>
    </xf>
    <xf numFmtId="167" fontId="7" fillId="3" borderId="177" xfId="0" applyNumberFormat="1" applyFont="1" applyFill="1" applyBorder="1"/>
    <xf numFmtId="2" fontId="7" fillId="3" borderId="176" xfId="0" applyNumberFormat="1" applyFont="1" applyFill="1" applyBorder="1" applyAlignment="1">
      <alignment horizontal="center" vertical="center"/>
    </xf>
    <xf numFmtId="167" fontId="7" fillId="3" borderId="202" xfId="0" applyNumberFormat="1" applyFont="1" applyFill="1" applyBorder="1" applyAlignment="1">
      <alignment horizontal="center" wrapText="1"/>
    </xf>
    <xf numFmtId="167" fontId="7" fillId="0" borderId="101" xfId="0" applyNumberFormat="1" applyFont="1" applyBorder="1" applyAlignment="1">
      <alignment horizontal="center" wrapText="1"/>
    </xf>
    <xf numFmtId="0" fontId="51" fillId="0" borderId="203" xfId="13" applyFont="1" applyBorder="1" applyAlignment="1">
      <alignment horizontal="center" vertical="center" wrapText="1"/>
    </xf>
    <xf numFmtId="0" fontId="51" fillId="0" borderId="204" xfId="13" applyFont="1" applyBorder="1" applyAlignment="1">
      <alignment horizontal="center" vertical="center" wrapText="1"/>
    </xf>
    <xf numFmtId="0" fontId="50" fillId="3" borderId="48" xfId="0" applyFont="1" applyFill="1" applyBorder="1" applyAlignment="1">
      <alignment horizontal="center"/>
    </xf>
    <xf numFmtId="0" fontId="7" fillId="0" borderId="205" xfId="0" applyFont="1" applyBorder="1" applyAlignment="1">
      <alignment horizontal="center" wrapText="1"/>
    </xf>
    <xf numFmtId="0" fontId="7" fillId="0" borderId="17" xfId="0" applyFont="1" applyBorder="1" applyAlignment="1">
      <alignment horizontal="center" wrapText="1"/>
    </xf>
    <xf numFmtId="0" fontId="51" fillId="0" borderId="17" xfId="0" applyFont="1" applyBorder="1" applyAlignment="1">
      <alignment vertical="center" wrapText="1"/>
    </xf>
    <xf numFmtId="0" fontId="51" fillId="0" borderId="17" xfId="0" applyFont="1" applyBorder="1" applyAlignment="1">
      <alignment horizontal="center" vertical="center" wrapText="1"/>
    </xf>
    <xf numFmtId="3" fontId="51" fillId="0" borderId="17" xfId="0" applyNumberFormat="1" applyFont="1" applyBorder="1" applyAlignment="1">
      <alignment horizontal="right" vertical="center" wrapText="1"/>
    </xf>
    <xf numFmtId="167" fontId="7" fillId="0" borderId="17" xfId="0" applyNumberFormat="1" applyFont="1" applyBorder="1" applyAlignment="1">
      <alignment horizontal="center" wrapText="1"/>
    </xf>
    <xf numFmtId="41" fontId="50" fillId="3" borderId="17" xfId="3" applyFont="1" applyFill="1" applyBorder="1"/>
    <xf numFmtId="0" fontId="7" fillId="0" borderId="12" xfId="0" quotePrefix="1" applyFont="1" applyBorder="1" applyAlignment="1">
      <alignment horizontal="left" wrapText="1"/>
    </xf>
    <xf numFmtId="0" fontId="54" fillId="0" borderId="11" xfId="0" applyFont="1" applyBorder="1" applyAlignment="1">
      <alignment horizontal="center" wrapText="1"/>
    </xf>
    <xf numFmtId="167" fontId="54" fillId="0" borderId="12" xfId="1" applyNumberFormat="1" applyFont="1" applyBorder="1" applyAlignment="1">
      <alignment horizontal="right" wrapText="1"/>
    </xf>
    <xf numFmtId="41" fontId="5" fillId="0" borderId="43" xfId="0" applyNumberFormat="1" applyFont="1" applyBorder="1" applyAlignment="1">
      <alignment horizontal="right" wrapText="1"/>
    </xf>
    <xf numFmtId="41" fontId="7" fillId="0" borderId="43" xfId="0" applyNumberFormat="1" applyFont="1" applyBorder="1" applyAlignment="1">
      <alignment horizontal="right" wrapText="1"/>
    </xf>
    <xf numFmtId="41" fontId="54" fillId="3" borderId="43" xfId="2" applyNumberFormat="1" applyFont="1" applyFill="1" applyBorder="1" applyAlignment="1">
      <alignment horizontal="right" wrapText="1"/>
    </xf>
    <xf numFmtId="0" fontId="7" fillId="0" borderId="12" xfId="1" applyNumberFormat="1" applyFont="1" applyBorder="1" applyAlignment="1">
      <alignment vertical="center" wrapText="1"/>
    </xf>
    <xf numFmtId="0" fontId="54" fillId="0" borderId="12" xfId="8" applyFont="1" applyBorder="1" applyAlignment="1">
      <alignment wrapText="1"/>
    </xf>
    <xf numFmtId="0" fontId="55" fillId="0" borderId="12" xfId="8" applyFont="1" applyBorder="1" applyAlignment="1">
      <alignment horizontal="left" wrapText="1"/>
    </xf>
    <xf numFmtId="0" fontId="55" fillId="0" borderId="11" xfId="8" applyFont="1" applyBorder="1" applyAlignment="1">
      <alignment wrapText="1"/>
    </xf>
    <xf numFmtId="0" fontId="55" fillId="0" borderId="11" xfId="8" applyFont="1" applyBorder="1" applyAlignment="1">
      <alignment horizontal="center" wrapText="1"/>
    </xf>
    <xf numFmtId="0" fontId="55" fillId="0" borderId="12" xfId="8" applyFont="1" applyBorder="1" applyAlignment="1">
      <alignment horizontal="center" wrapText="1"/>
    </xf>
    <xf numFmtId="0" fontId="54" fillId="0" borderId="12" xfId="8" quotePrefix="1" applyFont="1" applyBorder="1" applyAlignment="1">
      <alignment wrapText="1"/>
    </xf>
    <xf numFmtId="0" fontId="55" fillId="3" borderId="50" xfId="8" applyFont="1" applyFill="1" applyBorder="1" applyAlignment="1">
      <alignment vertical="top" wrapText="1"/>
    </xf>
    <xf numFmtId="0" fontId="55" fillId="0" borderId="11" xfId="8" applyNumberFormat="1" applyFont="1" applyBorder="1" applyAlignment="1">
      <alignment horizontal="center" vertical="center" wrapText="1"/>
    </xf>
    <xf numFmtId="0" fontId="59" fillId="3" borderId="12" xfId="8" applyFont="1" applyFill="1" applyBorder="1" applyAlignment="1">
      <alignment vertical="top" wrapText="1"/>
    </xf>
    <xf numFmtId="0" fontId="55" fillId="0" borderId="94" xfId="8" applyFont="1" applyBorder="1"/>
    <xf numFmtId="0" fontId="55" fillId="0" borderId="52" xfId="8" applyNumberFormat="1" applyFont="1" applyBorder="1" applyAlignment="1">
      <alignment horizontal="center" vertical="center" wrapText="1"/>
    </xf>
    <xf numFmtId="0" fontId="55" fillId="0" borderId="50" xfId="8" applyFont="1" applyBorder="1" applyAlignment="1">
      <alignment horizontal="center" wrapText="1"/>
    </xf>
    <xf numFmtId="0" fontId="55" fillId="0" borderId="33" xfId="8" applyFont="1" applyBorder="1" applyAlignment="1">
      <alignment horizontal="center" wrapText="1"/>
    </xf>
    <xf numFmtId="0" fontId="54" fillId="0" borderId="12" xfId="8" quotePrefix="1" applyFont="1" applyFill="1" applyBorder="1" applyAlignment="1">
      <alignment horizontal="left" wrapText="1"/>
    </xf>
    <xf numFmtId="0" fontId="54" fillId="0" borderId="50" xfId="8" applyFont="1" applyFill="1" applyBorder="1" applyAlignment="1">
      <alignment horizontal="left" wrapText="1"/>
    </xf>
    <xf numFmtId="43" fontId="54" fillId="3" borderId="12" xfId="8" applyNumberFormat="1" applyFont="1" applyFill="1" applyBorder="1" applyAlignment="1">
      <alignment horizontal="center" wrapText="1"/>
    </xf>
    <xf numFmtId="167" fontId="54" fillId="3" borderId="10" xfId="8" applyNumberFormat="1" applyFont="1" applyFill="1" applyBorder="1" applyAlignment="1">
      <alignment horizontal="center" wrapText="1"/>
    </xf>
    <xf numFmtId="0" fontId="54" fillId="3" borderId="12" xfId="8" applyFont="1" applyFill="1" applyBorder="1" applyAlignment="1">
      <alignment horizontal="left" wrapText="1"/>
    </xf>
    <xf numFmtId="43" fontId="54" fillId="0" borderId="12" xfId="11" quotePrefix="1" applyFont="1" applyFill="1" applyBorder="1" applyAlignment="1">
      <alignment wrapText="1"/>
    </xf>
    <xf numFmtId="167" fontId="54" fillId="0" borderId="10" xfId="8" applyNumberFormat="1" applyFont="1" applyFill="1" applyBorder="1" applyAlignment="1">
      <alignment horizontal="center" wrapText="1"/>
    </xf>
    <xf numFmtId="0" fontId="54" fillId="3" borderId="61" xfId="8" applyFont="1" applyFill="1" applyBorder="1" applyAlignment="1">
      <alignment horizontal="center" wrapText="1"/>
    </xf>
    <xf numFmtId="0" fontId="54" fillId="3" borderId="10" xfId="8" quotePrefix="1" applyFont="1" applyFill="1" applyBorder="1" applyAlignment="1">
      <alignment horizontal="center" wrapText="1"/>
    </xf>
    <xf numFmtId="0" fontId="54" fillId="3" borderId="10" xfId="8" quotePrefix="1" applyFont="1" applyFill="1" applyBorder="1" applyAlignment="1">
      <alignment wrapText="1"/>
    </xf>
    <xf numFmtId="0" fontId="54" fillId="3" borderId="10" xfId="8" applyFont="1" applyFill="1" applyBorder="1" applyAlignment="1">
      <alignment horizontal="center" wrapText="1"/>
    </xf>
    <xf numFmtId="0" fontId="54" fillId="3" borderId="12" xfId="8" applyFont="1" applyFill="1" applyBorder="1" applyAlignment="1">
      <alignment horizontal="center" wrapText="1"/>
    </xf>
    <xf numFmtId="0" fontId="54" fillId="3" borderId="12" xfId="8" quotePrefix="1" applyFont="1" applyFill="1" applyBorder="1" applyAlignment="1">
      <alignment horizontal="center" wrapText="1"/>
    </xf>
    <xf numFmtId="49" fontId="54" fillId="3" borderId="12" xfId="8" quotePrefix="1" applyNumberFormat="1" applyFont="1" applyFill="1" applyBorder="1" applyAlignment="1">
      <alignment horizontal="left" wrapText="1"/>
    </xf>
    <xf numFmtId="49" fontId="54" fillId="3" borderId="12" xfId="8" applyNumberFormat="1" applyFont="1" applyFill="1" applyBorder="1" applyAlignment="1">
      <alignment horizontal="left" wrapText="1"/>
    </xf>
    <xf numFmtId="49" fontId="55" fillId="3" borderId="12" xfId="8" applyNumberFormat="1" applyFont="1" applyFill="1" applyBorder="1" applyAlignment="1">
      <alignment horizontal="left" wrapText="1"/>
    </xf>
    <xf numFmtId="167" fontId="54" fillId="3" borderId="11" xfId="1" applyNumberFormat="1" applyFont="1" applyFill="1" applyBorder="1" applyAlignment="1">
      <alignment horizontal="center" vertical="center" wrapText="1"/>
    </xf>
    <xf numFmtId="49" fontId="54" fillId="3" borderId="50" xfId="8" applyNumberFormat="1" applyFont="1" applyFill="1" applyBorder="1" applyAlignment="1">
      <alignment horizontal="left" wrapText="1"/>
    </xf>
    <xf numFmtId="167" fontId="54" fillId="3" borderId="10" xfId="1" applyNumberFormat="1" applyFont="1" applyFill="1" applyBorder="1" applyAlignment="1">
      <alignment horizontal="center" vertical="center" wrapText="1"/>
    </xf>
    <xf numFmtId="0" fontId="55" fillId="0" borderId="10" xfId="8" applyFont="1" applyFill="1" applyBorder="1" applyAlignment="1">
      <alignment readingOrder="1"/>
    </xf>
    <xf numFmtId="0" fontId="60" fillId="3" borderId="11" xfId="8" applyNumberFormat="1" applyFont="1" applyFill="1" applyBorder="1" applyAlignment="1">
      <alignment horizontal="center" vertical="center" wrapText="1"/>
    </xf>
    <xf numFmtId="167" fontId="60" fillId="3" borderId="10" xfId="1" applyNumberFormat="1" applyFont="1" applyFill="1" applyBorder="1" applyAlignment="1">
      <alignment horizontal="center" vertical="center" wrapText="1"/>
    </xf>
    <xf numFmtId="0" fontId="55" fillId="0" borderId="50" xfId="8" applyFont="1" applyFill="1" applyBorder="1" applyAlignment="1">
      <alignment wrapText="1" readingOrder="1"/>
    </xf>
    <xf numFmtId="43" fontId="56" fillId="0" borderId="12" xfId="8" applyNumberFormat="1" applyFont="1" applyFill="1" applyBorder="1" applyAlignment="1">
      <alignment horizontal="center" wrapText="1"/>
    </xf>
    <xf numFmtId="43" fontId="56" fillId="0" borderId="10" xfId="8" applyNumberFormat="1" applyFont="1" applyFill="1" applyBorder="1" applyAlignment="1">
      <alignment horizontal="center" wrapText="1"/>
    </xf>
    <xf numFmtId="0" fontId="54" fillId="0" borderId="47" xfId="8" applyFont="1" applyFill="1" applyBorder="1" applyAlignment="1">
      <alignment wrapText="1" readingOrder="1"/>
    </xf>
    <xf numFmtId="43" fontId="54" fillId="0" borderId="10" xfId="8" applyNumberFormat="1" applyFont="1" applyFill="1" applyBorder="1" applyAlignment="1">
      <alignment horizontal="center" wrapText="1"/>
    </xf>
    <xf numFmtId="49" fontId="54" fillId="3" borderId="102" xfId="8" quotePrefix="1" applyNumberFormat="1" applyFont="1" applyFill="1" applyBorder="1" applyAlignment="1">
      <alignment horizontal="left" wrapText="1"/>
    </xf>
    <xf numFmtId="0" fontId="54" fillId="0" borderId="106" xfId="11" applyNumberFormat="1" applyFont="1" applyFill="1" applyBorder="1" applyAlignment="1">
      <alignment horizontal="center" vertical="center" wrapText="1"/>
    </xf>
    <xf numFmtId="43" fontId="54" fillId="0" borderId="106" xfId="8" applyNumberFormat="1" applyFont="1" applyFill="1" applyBorder="1" applyAlignment="1">
      <alignment horizontal="center" wrapText="1"/>
    </xf>
    <xf numFmtId="167" fontId="54" fillId="0" borderId="106" xfId="8" applyNumberFormat="1" applyFont="1" applyFill="1" applyBorder="1" applyAlignment="1">
      <alignment horizontal="center" wrapText="1"/>
    </xf>
    <xf numFmtId="43" fontId="54" fillId="0" borderId="102" xfId="8" applyNumberFormat="1" applyFont="1" applyFill="1" applyBorder="1" applyAlignment="1">
      <alignment horizontal="center" wrapText="1"/>
    </xf>
    <xf numFmtId="167" fontId="54" fillId="0" borderId="102" xfId="8" applyNumberFormat="1" applyFont="1" applyFill="1" applyBorder="1" applyAlignment="1">
      <alignment horizontal="center" wrapText="1"/>
    </xf>
    <xf numFmtId="0" fontId="54" fillId="0" borderId="178" xfId="11" applyNumberFormat="1" applyFont="1" applyFill="1" applyBorder="1" applyAlignment="1">
      <alignment horizontal="center" vertical="center" wrapText="1"/>
    </xf>
    <xf numFmtId="43" fontId="54" fillId="0" borderId="178" xfId="8" applyNumberFormat="1" applyFont="1" applyFill="1" applyBorder="1" applyAlignment="1">
      <alignment horizontal="center" wrapText="1"/>
    </xf>
    <xf numFmtId="167" fontId="54" fillId="0" borderId="178" xfId="8" applyNumberFormat="1" applyFont="1" applyFill="1" applyBorder="1" applyAlignment="1">
      <alignment horizontal="center" wrapText="1"/>
    </xf>
    <xf numFmtId="167" fontId="54" fillId="0" borderId="12" xfId="8" applyNumberFormat="1" applyFont="1" applyFill="1" applyBorder="1" applyAlignment="1">
      <alignment horizontal="center" wrapText="1"/>
    </xf>
    <xf numFmtId="49" fontId="54" fillId="3" borderId="177" xfId="8" quotePrefix="1" applyNumberFormat="1" applyFont="1" applyFill="1" applyBorder="1" applyAlignment="1">
      <alignment horizontal="left" wrapText="1"/>
    </xf>
    <xf numFmtId="0" fontId="55" fillId="0" borderId="12" xfId="8" quotePrefix="1" applyFont="1" applyBorder="1" applyAlignment="1">
      <alignment readingOrder="1"/>
    </xf>
    <xf numFmtId="0" fontId="54" fillId="0" borderId="11" xfId="8" applyFont="1" applyBorder="1" applyAlignment="1">
      <alignment vertical="center" wrapText="1"/>
    </xf>
    <xf numFmtId="0" fontId="54" fillId="0" borderId="160" xfId="8" applyFont="1" applyBorder="1" applyAlignment="1">
      <alignment horizontal="center" wrapText="1"/>
    </xf>
    <xf numFmtId="0" fontId="54" fillId="0" borderId="102" xfId="8" applyFont="1" applyBorder="1" applyAlignment="1">
      <alignment horizontal="center" wrapText="1"/>
    </xf>
    <xf numFmtId="0" fontId="54" fillId="0" borderId="102" xfId="8" applyFont="1" applyBorder="1" applyAlignment="1">
      <alignment wrapText="1"/>
    </xf>
    <xf numFmtId="0" fontId="54" fillId="0" borderId="102" xfId="8" quotePrefix="1" applyFont="1" applyBorder="1" applyAlignment="1">
      <alignment horizontal="center" wrapText="1"/>
    </xf>
    <xf numFmtId="0" fontId="54" fillId="0" borderId="12" xfId="8" quotePrefix="1" applyFont="1" applyFill="1" applyBorder="1" applyAlignment="1">
      <alignment readingOrder="1"/>
    </xf>
    <xf numFmtId="167" fontId="54" fillId="0" borderId="10" xfId="11" applyNumberFormat="1" applyFont="1" applyFill="1" applyBorder="1" applyAlignment="1">
      <alignment horizontal="center" vertical="center" wrapText="1"/>
    </xf>
    <xf numFmtId="0" fontId="54" fillId="0" borderId="48" xfId="8" quotePrefix="1" applyFont="1" applyFill="1" applyBorder="1" applyAlignment="1">
      <alignment wrapText="1" readingOrder="1"/>
    </xf>
    <xf numFmtId="41" fontId="54" fillId="0" borderId="102" xfId="12" applyFont="1" applyFill="1" applyBorder="1" applyAlignment="1">
      <alignment horizontal="center" wrapText="1"/>
    </xf>
    <xf numFmtId="0" fontId="54" fillId="0" borderId="12" xfId="8" applyFont="1" applyBorder="1"/>
    <xf numFmtId="0" fontId="54" fillId="0" borderId="0" xfId="8" applyFont="1"/>
    <xf numFmtId="49" fontId="54" fillId="0" borderId="12" xfId="8" quotePrefix="1" applyNumberFormat="1" applyFont="1" applyFill="1" applyBorder="1" applyAlignment="1">
      <alignment horizontal="left" wrapText="1"/>
    </xf>
    <xf numFmtId="0" fontId="54" fillId="3" borderId="12" xfId="8" quotePrefix="1" applyFont="1" applyFill="1" applyBorder="1" applyAlignment="1">
      <alignment readingOrder="1"/>
    </xf>
    <xf numFmtId="167" fontId="54" fillId="3" borderId="11" xfId="11" applyNumberFormat="1" applyFont="1" applyFill="1" applyBorder="1" applyAlignment="1">
      <alignment horizontal="center" vertical="center" wrapText="1"/>
    </xf>
    <xf numFmtId="167" fontId="55" fillId="0" borderId="43" xfId="8" applyNumberFormat="1" applyFont="1" applyBorder="1" applyAlignment="1">
      <alignment horizontal="center" wrapText="1"/>
    </xf>
    <xf numFmtId="167" fontId="55" fillId="0" borderId="43" xfId="8" applyNumberFormat="1" applyFont="1" applyFill="1" applyBorder="1" applyAlignment="1">
      <alignment horizontal="center" wrapText="1"/>
    </xf>
    <xf numFmtId="167" fontId="54" fillId="3" borderId="43" xfId="8" applyNumberFormat="1" applyFont="1" applyFill="1" applyBorder="1" applyAlignment="1">
      <alignment horizontal="center" wrapText="1"/>
    </xf>
    <xf numFmtId="167" fontId="55" fillId="3" borderId="43" xfId="8" applyNumberFormat="1" applyFont="1" applyFill="1" applyBorder="1" applyAlignment="1">
      <alignment horizontal="center" wrapText="1"/>
    </xf>
    <xf numFmtId="167" fontId="54" fillId="0" borderId="43" xfId="8" applyNumberFormat="1" applyFont="1" applyFill="1" applyBorder="1" applyAlignment="1">
      <alignment horizontal="center" wrapText="1"/>
    </xf>
    <xf numFmtId="167" fontId="54" fillId="3" borderId="43" xfId="1" applyNumberFormat="1" applyFont="1" applyFill="1" applyBorder="1" applyAlignment="1">
      <alignment horizontal="center" vertical="center" wrapText="1"/>
    </xf>
    <xf numFmtId="167" fontId="54" fillId="3" borderId="101" xfId="1" applyNumberFormat="1" applyFont="1" applyFill="1" applyBorder="1" applyAlignment="1">
      <alignment horizontal="center" vertical="center" wrapText="1"/>
    </xf>
    <xf numFmtId="167" fontId="5" fillId="3" borderId="101" xfId="1" applyNumberFormat="1" applyFont="1" applyFill="1" applyBorder="1" applyAlignment="1">
      <alignment horizontal="center" vertical="center" wrapText="1"/>
    </xf>
    <xf numFmtId="167" fontId="55" fillId="0" borderId="11" xfId="8" applyNumberFormat="1" applyFont="1" applyFill="1" applyBorder="1" applyAlignment="1">
      <alignment horizontal="center" wrapText="1"/>
    </xf>
    <xf numFmtId="167" fontId="54" fillId="0" borderId="11" xfId="8" applyNumberFormat="1" applyFont="1" applyFill="1" applyBorder="1" applyAlignment="1">
      <alignment horizontal="center" wrapText="1"/>
    </xf>
    <xf numFmtId="167" fontId="54" fillId="0" borderId="179" xfId="8" applyNumberFormat="1" applyFont="1" applyFill="1" applyBorder="1" applyAlignment="1">
      <alignment horizontal="center" wrapText="1"/>
    </xf>
    <xf numFmtId="167" fontId="54" fillId="0" borderId="162" xfId="8" applyNumberFormat="1" applyFont="1" applyFill="1" applyBorder="1" applyAlignment="1">
      <alignment horizontal="center" wrapText="1"/>
    </xf>
    <xf numFmtId="167" fontId="54" fillId="0" borderId="206" xfId="8" applyNumberFormat="1" applyFont="1" applyFill="1" applyBorder="1" applyAlignment="1">
      <alignment horizontal="center" wrapText="1"/>
    </xf>
    <xf numFmtId="167" fontId="54" fillId="0" borderId="101" xfId="11" applyNumberFormat="1" applyFont="1" applyFill="1" applyBorder="1" applyAlignment="1">
      <alignment horizontal="center" vertical="center" wrapText="1"/>
    </xf>
    <xf numFmtId="167" fontId="54" fillId="3" borderId="11" xfId="8" applyNumberFormat="1" applyFont="1" applyFill="1" applyBorder="1" applyAlignment="1">
      <alignment horizontal="center" wrapText="1"/>
    </xf>
    <xf numFmtId="167" fontId="54" fillId="0" borderId="163" xfId="8" applyNumberFormat="1" applyFont="1" applyBorder="1" applyAlignment="1">
      <alignment horizontal="center" wrapText="1"/>
    </xf>
    <xf numFmtId="167" fontId="54" fillId="0" borderId="0" xfId="8" applyNumberFormat="1" applyFont="1" applyBorder="1" applyAlignment="1">
      <alignment horizontal="center" wrapText="1"/>
    </xf>
    <xf numFmtId="167" fontId="54" fillId="0" borderId="107" xfId="8" applyNumberFormat="1" applyFont="1" applyBorder="1" applyAlignment="1">
      <alignment horizontal="center" wrapText="1"/>
    </xf>
    <xf numFmtId="0" fontId="55" fillId="0" borderId="14" xfId="8" applyFont="1" applyBorder="1" applyAlignment="1">
      <alignment wrapText="1"/>
    </xf>
    <xf numFmtId="0" fontId="55" fillId="0" borderId="14" xfId="8" applyFont="1" applyBorder="1" applyAlignment="1">
      <alignment horizontal="center" wrapText="1"/>
    </xf>
    <xf numFmtId="0" fontId="55" fillId="0" borderId="15" xfId="8" applyFont="1" applyBorder="1" applyAlignment="1">
      <alignment horizontal="center" wrapText="1"/>
    </xf>
    <xf numFmtId="167" fontId="55" fillId="0" borderId="9" xfId="8" applyNumberFormat="1" applyFont="1" applyBorder="1" applyAlignment="1">
      <alignment horizontal="center" wrapText="1"/>
    </xf>
    <xf numFmtId="167" fontId="55" fillId="0" borderId="10" xfId="8" applyNumberFormat="1" applyFont="1" applyBorder="1" applyAlignment="1">
      <alignment horizontal="center" wrapText="1"/>
    </xf>
    <xf numFmtId="167" fontId="55" fillId="0" borderId="10" xfId="8" applyNumberFormat="1" applyFont="1" applyFill="1" applyBorder="1" applyAlignment="1">
      <alignment horizontal="center" wrapText="1"/>
    </xf>
    <xf numFmtId="167" fontId="55" fillId="3" borderId="10" xfId="8" applyNumberFormat="1" applyFont="1" applyFill="1" applyBorder="1" applyAlignment="1">
      <alignment horizontal="center" wrapText="1"/>
    </xf>
    <xf numFmtId="167" fontId="54" fillId="3" borderId="33" xfId="1" applyNumberFormat="1" applyFont="1" applyFill="1" applyBorder="1" applyAlignment="1">
      <alignment horizontal="center" vertical="center" wrapText="1"/>
    </xf>
    <xf numFmtId="167" fontId="5" fillId="3" borderId="33" xfId="1" applyNumberFormat="1" applyFont="1" applyFill="1" applyBorder="1" applyAlignment="1">
      <alignment horizontal="center" vertical="center" wrapText="1"/>
    </xf>
    <xf numFmtId="167" fontId="55" fillId="0" borderId="12" xfId="8" applyNumberFormat="1" applyFont="1" applyFill="1" applyBorder="1" applyAlignment="1">
      <alignment horizontal="center" wrapText="1"/>
    </xf>
    <xf numFmtId="167" fontId="54" fillId="0" borderId="33" xfId="11" applyNumberFormat="1" applyFont="1" applyFill="1" applyBorder="1" applyAlignment="1">
      <alignment horizontal="center" vertical="center" wrapText="1"/>
    </xf>
    <xf numFmtId="0" fontId="54" fillId="0" borderId="0" xfId="8" applyFont="1" applyBorder="1"/>
    <xf numFmtId="167" fontId="54" fillId="0" borderId="177" xfId="8" applyNumberFormat="1" applyFont="1" applyBorder="1" applyAlignment="1">
      <alignment horizontal="center" wrapText="1"/>
    </xf>
    <xf numFmtId="167" fontId="54" fillId="0" borderId="46" xfId="8" applyNumberFormat="1" applyFont="1" applyBorder="1" applyAlignment="1">
      <alignment horizontal="center" wrapText="1"/>
    </xf>
    <xf numFmtId="167" fontId="54" fillId="0" borderId="49" xfId="8" applyNumberFormat="1" applyFont="1" applyBorder="1" applyAlignment="1">
      <alignment horizontal="center" wrapText="1"/>
    </xf>
    <xf numFmtId="0" fontId="55" fillId="0" borderId="50" xfId="8" applyFont="1" applyBorder="1" applyAlignment="1">
      <alignment vertical="top" wrapText="1"/>
    </xf>
    <xf numFmtId="0" fontId="59" fillId="0" borderId="12" xfId="8" applyFont="1" applyBorder="1" applyAlignment="1">
      <alignment vertical="top" wrapText="1"/>
    </xf>
    <xf numFmtId="0" fontId="54" fillId="0" borderId="12" xfId="8" applyFont="1" applyFill="1" applyBorder="1" applyAlignment="1">
      <alignment horizontal="left" wrapText="1"/>
    </xf>
    <xf numFmtId="43" fontId="54" fillId="3" borderId="12" xfId="1" quotePrefix="1" applyFont="1" applyFill="1" applyBorder="1" applyAlignment="1">
      <alignment horizontal="left" wrapText="1"/>
    </xf>
    <xf numFmtId="49" fontId="54" fillId="0" borderId="12" xfId="8" applyNumberFormat="1" applyFont="1" applyFill="1" applyBorder="1" applyAlignment="1">
      <alignment horizontal="left" wrapText="1"/>
    </xf>
    <xf numFmtId="0" fontId="55" fillId="0" borderId="12" xfId="8" applyFont="1" applyFill="1" applyBorder="1" applyAlignment="1">
      <alignment readingOrder="1"/>
    </xf>
    <xf numFmtId="0" fontId="54" fillId="0" borderId="12" xfId="8" quotePrefix="1" applyFont="1" applyBorder="1" applyAlignment="1">
      <alignment readingOrder="1"/>
    </xf>
    <xf numFmtId="0" fontId="54" fillId="0" borderId="11" xfId="12" applyNumberFormat="1" applyFont="1" applyBorder="1" applyAlignment="1">
      <alignment horizontal="center" vertical="center" wrapText="1"/>
    </xf>
    <xf numFmtId="43" fontId="54" fillId="0" borderId="11" xfId="8" applyNumberFormat="1" applyFont="1" applyBorder="1" applyAlignment="1">
      <alignment horizontal="center" wrapText="1"/>
    </xf>
    <xf numFmtId="167" fontId="54" fillId="0" borderId="12" xfId="8" applyNumberFormat="1" applyFont="1" applyBorder="1" applyAlignment="1">
      <alignment horizontal="center" wrapText="1"/>
    </xf>
    <xf numFmtId="0" fontId="54" fillId="0" borderId="63" xfId="8" applyFont="1" applyBorder="1" applyAlignment="1">
      <alignment horizontal="center" wrapText="1"/>
    </xf>
    <xf numFmtId="0" fontId="54" fillId="0" borderId="33" xfId="8" quotePrefix="1" applyFont="1" applyBorder="1" applyAlignment="1">
      <alignment horizontal="center" wrapText="1"/>
    </xf>
    <xf numFmtId="0" fontId="54" fillId="0" borderId="33" xfId="8" quotePrefix="1" applyFont="1" applyBorder="1" applyAlignment="1">
      <alignment wrapText="1"/>
    </xf>
    <xf numFmtId="0" fontId="54" fillId="0" borderId="33" xfId="8" applyFont="1" applyBorder="1" applyAlignment="1">
      <alignment horizontal="center" wrapText="1"/>
    </xf>
    <xf numFmtId="0" fontId="54" fillId="0" borderId="10" xfId="8" applyFont="1" applyBorder="1" applyAlignment="1">
      <alignment wrapText="1"/>
    </xf>
    <xf numFmtId="0" fontId="54" fillId="0" borderId="47" xfId="8" quotePrefix="1" applyFont="1" applyFill="1" applyBorder="1" applyAlignment="1">
      <alignment wrapText="1" readingOrder="1"/>
    </xf>
    <xf numFmtId="41" fontId="54" fillId="0" borderId="12" xfId="12" applyFont="1" applyFill="1" applyBorder="1" applyAlignment="1">
      <alignment horizontal="center" wrapText="1"/>
    </xf>
    <xf numFmtId="43" fontId="56" fillId="0" borderId="11" xfId="8" applyNumberFormat="1" applyFont="1" applyFill="1" applyBorder="1" applyAlignment="1">
      <alignment horizontal="center" wrapText="1"/>
    </xf>
    <xf numFmtId="0" fontId="54" fillId="0" borderId="12" xfId="8" applyFont="1" applyFill="1" applyBorder="1" applyAlignment="1">
      <alignment wrapText="1" readingOrder="1"/>
    </xf>
    <xf numFmtId="0" fontId="54" fillId="0" borderId="12" xfId="8" applyFont="1" applyBorder="1" applyAlignment="1">
      <alignment readingOrder="1"/>
    </xf>
    <xf numFmtId="0" fontId="7" fillId="0" borderId="33" xfId="0" quotePrefix="1" applyFont="1" applyBorder="1" applyAlignment="1">
      <alignment wrapText="1"/>
    </xf>
    <xf numFmtId="0" fontId="58" fillId="0" borderId="177" xfId="0" quotePrefix="1" applyFont="1" applyBorder="1" applyAlignment="1">
      <alignment readingOrder="1"/>
    </xf>
    <xf numFmtId="0" fontId="49" fillId="0" borderId="12" xfId="0" applyFont="1" applyFill="1" applyBorder="1" applyAlignment="1">
      <alignment wrapText="1" readingOrder="1"/>
    </xf>
    <xf numFmtId="43" fontId="57" fillId="0" borderId="12" xfId="0" applyNumberFormat="1" applyFont="1" applyFill="1" applyBorder="1" applyAlignment="1">
      <alignment horizontal="center" wrapText="1"/>
    </xf>
    <xf numFmtId="43" fontId="57" fillId="0" borderId="10" xfId="0" applyNumberFormat="1" applyFont="1" applyFill="1" applyBorder="1" applyAlignment="1">
      <alignment horizontal="center" wrapText="1"/>
    </xf>
    <xf numFmtId="0" fontId="58" fillId="0" borderId="47" xfId="0" applyFont="1" applyFill="1" applyBorder="1" applyAlignment="1">
      <alignment wrapText="1" readingOrder="1"/>
    </xf>
    <xf numFmtId="43" fontId="7" fillId="0" borderId="12" xfId="0" applyNumberFormat="1" applyFont="1" applyFill="1" applyBorder="1" applyAlignment="1">
      <alignment horizontal="center" wrapText="1"/>
    </xf>
    <xf numFmtId="43" fontId="7" fillId="0" borderId="10" xfId="0" applyNumberFormat="1" applyFont="1" applyFill="1" applyBorder="1" applyAlignment="1">
      <alignment horizontal="center" wrapText="1"/>
    </xf>
    <xf numFmtId="167" fontId="54" fillId="0" borderId="12" xfId="0" applyNumberFormat="1" applyFont="1" applyBorder="1" applyAlignment="1">
      <alignment horizontal="center" wrapText="1"/>
    </xf>
    <xf numFmtId="0" fontId="54" fillId="0" borderId="147" xfId="8" applyFont="1" applyBorder="1" applyAlignment="1">
      <alignment horizontal="center" wrapText="1"/>
    </xf>
    <xf numFmtId="0" fontId="54" fillId="0" borderId="9" xfId="8" quotePrefix="1" applyFont="1" applyBorder="1" applyAlignment="1">
      <alignment horizontal="center" wrapText="1"/>
    </xf>
    <xf numFmtId="0" fontId="54" fillId="0" borderId="15" xfId="8" applyFont="1" applyBorder="1" applyAlignment="1">
      <alignment wrapText="1"/>
    </xf>
    <xf numFmtId="0" fontId="54" fillId="0" borderId="9" xfId="8" applyFont="1" applyBorder="1" applyAlignment="1">
      <alignment horizontal="center" wrapText="1"/>
    </xf>
    <xf numFmtId="0" fontId="54" fillId="0" borderId="15" xfId="8" applyFont="1" applyBorder="1" applyAlignment="1">
      <alignment horizontal="center" wrapText="1"/>
    </xf>
    <xf numFmtId="0" fontId="55" fillId="0" borderId="15" xfId="8" applyFont="1" applyBorder="1" applyAlignment="1">
      <alignment horizontal="left" wrapText="1"/>
    </xf>
    <xf numFmtId="167" fontId="55" fillId="0" borderId="10" xfId="8" applyNumberFormat="1" applyFont="1" applyFill="1" applyBorder="1" applyAlignment="1">
      <alignment horizontal="center"/>
    </xf>
    <xf numFmtId="167" fontId="55" fillId="0" borderId="46" xfId="8" applyNumberFormat="1" applyFont="1" applyBorder="1"/>
    <xf numFmtId="167" fontId="7" fillId="3" borderId="10" xfId="8" applyNumberFormat="1" applyFont="1" applyFill="1" applyBorder="1" applyAlignment="1">
      <alignment horizontal="center" vertical="center" wrapText="1"/>
    </xf>
    <xf numFmtId="167" fontId="54" fillId="0" borderId="10" xfId="8" applyNumberFormat="1" applyFont="1" applyBorder="1" applyAlignment="1">
      <alignment horizontal="center" wrapText="1"/>
    </xf>
    <xf numFmtId="167" fontId="7" fillId="0" borderId="33" xfId="0" applyNumberFormat="1" applyFont="1" applyBorder="1" applyAlignment="1">
      <alignment horizontal="center" wrapText="1"/>
    </xf>
    <xf numFmtId="167" fontId="5" fillId="0" borderId="10" xfId="0" applyNumberFormat="1" applyFont="1" applyFill="1" applyBorder="1" applyAlignment="1">
      <alignment horizontal="center" wrapText="1"/>
    </xf>
    <xf numFmtId="0" fontId="7" fillId="0" borderId="10" xfId="0" quotePrefix="1" applyFont="1" applyBorder="1" applyAlignment="1">
      <alignment wrapText="1"/>
    </xf>
    <xf numFmtId="167" fontId="54" fillId="0" borderId="10" xfId="0" applyNumberFormat="1" applyFont="1" applyBorder="1" applyAlignment="1">
      <alignment horizontal="center" wrapText="1"/>
    </xf>
    <xf numFmtId="0" fontId="7" fillId="0" borderId="147" xfId="0" applyFont="1" applyBorder="1" applyAlignment="1">
      <alignment horizontal="center" wrapText="1"/>
    </xf>
    <xf numFmtId="0" fontId="7" fillId="0" borderId="9" xfId="0" quotePrefix="1" applyFont="1" applyBorder="1" applyAlignment="1">
      <alignment horizontal="center" wrapText="1"/>
    </xf>
    <xf numFmtId="0" fontId="7" fillId="0" borderId="15" xfId="0" applyFont="1" applyBorder="1" applyAlignment="1">
      <alignment wrapText="1"/>
    </xf>
    <xf numFmtId="0" fontId="24" fillId="0" borderId="156" xfId="0" applyFont="1" applyBorder="1" applyAlignment="1">
      <alignment horizontal="center" wrapText="1"/>
    </xf>
    <xf numFmtId="0" fontId="24" fillId="0" borderId="157" xfId="0" applyFont="1" applyBorder="1" applyAlignment="1">
      <alignment horizontal="center" vertical="center" wrapText="1"/>
    </xf>
    <xf numFmtId="0" fontId="5" fillId="0" borderId="52" xfId="0" applyFont="1" applyBorder="1" applyAlignment="1">
      <alignment vertical="top" wrapText="1"/>
    </xf>
    <xf numFmtId="0" fontId="55" fillId="0" borderId="45" xfId="8" applyNumberFormat="1" applyFont="1" applyBorder="1" applyAlignment="1">
      <alignment horizontal="center" vertical="center" wrapText="1"/>
    </xf>
    <xf numFmtId="0" fontId="55" fillId="0" borderId="44" xfId="8" applyFont="1" applyBorder="1" applyAlignment="1">
      <alignment horizontal="center" wrapText="1"/>
    </xf>
    <xf numFmtId="0" fontId="55" fillId="0" borderId="12" xfId="8" applyFont="1" applyBorder="1" applyAlignment="1">
      <alignment vertical="top" wrapText="1"/>
    </xf>
    <xf numFmtId="0" fontId="55" fillId="0" borderId="46" xfId="8" applyFont="1" applyBorder="1"/>
    <xf numFmtId="0" fontId="55" fillId="0" borderId="10" xfId="8" applyFont="1" applyBorder="1" applyAlignment="1">
      <alignment readingOrder="1"/>
    </xf>
    <xf numFmtId="0" fontId="55" fillId="0" borderId="33" xfId="8" applyFont="1" applyBorder="1" applyAlignment="1">
      <alignment wrapText="1" readingOrder="1"/>
    </xf>
    <xf numFmtId="0" fontId="54" fillId="0" borderId="10" xfId="8" applyFont="1" applyFill="1" applyBorder="1" applyAlignment="1">
      <alignment horizontal="left" wrapText="1"/>
    </xf>
    <xf numFmtId="0" fontId="54" fillId="0" borderId="10" xfId="8" quotePrefix="1" applyFont="1" applyFill="1" applyBorder="1" applyAlignment="1">
      <alignment horizontal="left" vertical="top" wrapText="1"/>
    </xf>
    <xf numFmtId="0" fontId="54" fillId="0" borderId="33" xfId="8" applyFont="1" applyFill="1" applyBorder="1" applyAlignment="1">
      <alignment horizontal="left" wrapText="1"/>
    </xf>
    <xf numFmtId="0" fontId="54" fillId="3" borderId="10" xfId="8" quotePrefix="1" applyFont="1" applyFill="1" applyBorder="1" applyAlignment="1">
      <alignment horizontal="left" wrapText="1"/>
    </xf>
    <xf numFmtId="0" fontId="55" fillId="0" borderId="33" xfId="8" applyFont="1" applyFill="1" applyBorder="1" applyAlignment="1">
      <alignment wrapText="1" readingOrder="1"/>
    </xf>
    <xf numFmtId="0" fontId="54" fillId="0" borderId="49" xfId="8" applyFont="1" applyFill="1" applyBorder="1" applyAlignment="1">
      <alignment wrapText="1" readingOrder="1"/>
    </xf>
    <xf numFmtId="0" fontId="54" fillId="0" borderId="10" xfId="8" quotePrefix="1" applyFont="1" applyBorder="1" applyAlignment="1">
      <alignment readingOrder="1"/>
    </xf>
    <xf numFmtId="0" fontId="54" fillId="0" borderId="10" xfId="8" quotePrefix="1" applyFont="1" applyFill="1" applyBorder="1" applyAlignment="1">
      <alignment readingOrder="1"/>
    </xf>
    <xf numFmtId="0" fontId="54" fillId="0" borderId="50" xfId="8" quotePrefix="1" applyFont="1" applyBorder="1" applyAlignment="1">
      <alignment horizontal="center" wrapText="1"/>
    </xf>
    <xf numFmtId="0" fontId="54" fillId="0" borderId="33" xfId="8" applyFont="1" applyBorder="1" applyAlignment="1">
      <alignment horizontal="left" wrapText="1"/>
    </xf>
    <xf numFmtId="0" fontId="54" fillId="0" borderId="52" xfId="12" applyNumberFormat="1" applyFont="1" applyBorder="1" applyAlignment="1">
      <alignment horizontal="center" vertical="center" wrapText="1"/>
    </xf>
    <xf numFmtId="43" fontId="54" fillId="0" borderId="52" xfId="8" applyNumberFormat="1" applyFont="1" applyBorder="1" applyAlignment="1">
      <alignment horizontal="center" wrapText="1"/>
    </xf>
    <xf numFmtId="167" fontId="54" fillId="0" borderId="50" xfId="8" applyNumberFormat="1" applyFont="1" applyBorder="1" applyAlignment="1">
      <alignment horizontal="center" wrapText="1"/>
    </xf>
    <xf numFmtId="0" fontId="7" fillId="0" borderId="164" xfId="12" applyNumberFormat="1" applyFont="1" applyBorder="1" applyAlignment="1">
      <alignment horizontal="center" vertical="center" wrapText="1"/>
    </xf>
    <xf numFmtId="0" fontId="55" fillId="0" borderId="142" xfId="8" applyFont="1" applyBorder="1" applyAlignment="1">
      <alignment horizontal="left" wrapText="1"/>
    </xf>
    <xf numFmtId="167" fontId="54" fillId="0" borderId="33" xfId="8" applyNumberFormat="1" applyFont="1" applyBorder="1" applyAlignment="1">
      <alignment horizontal="center" wrapText="1"/>
    </xf>
    <xf numFmtId="167" fontId="7" fillId="0" borderId="33" xfId="0" applyNumberFormat="1" applyFont="1" applyBorder="1" applyAlignment="1">
      <alignment vertical="center"/>
    </xf>
    <xf numFmtId="0" fontId="54" fillId="0" borderId="166" xfId="13" applyNumberFormat="1" applyFont="1" applyFill="1" applyBorder="1" applyAlignment="1">
      <alignment horizontal="center" vertical="center" wrapText="1"/>
    </xf>
    <xf numFmtId="43" fontId="54" fillId="0" borderId="166" xfId="13" applyNumberFormat="1" applyFont="1" applyFill="1" applyBorder="1" applyAlignment="1">
      <alignment horizontal="center" vertical="center" wrapText="1"/>
    </xf>
    <xf numFmtId="167" fontId="54" fillId="0" borderId="166" xfId="13" applyNumberFormat="1" applyFont="1" applyFill="1" applyBorder="1" applyAlignment="1">
      <alignment horizontal="center" vertical="center" wrapText="1"/>
    </xf>
    <xf numFmtId="0" fontId="54" fillId="0" borderId="12" xfId="13" applyNumberFormat="1" applyFont="1" applyFill="1" applyBorder="1" applyAlignment="1">
      <alignment horizontal="center" vertical="center" wrapText="1"/>
    </xf>
    <xf numFmtId="0" fontId="5" fillId="0" borderId="50" xfId="0" applyFont="1" applyBorder="1" applyAlignment="1">
      <alignment horizontal="center" wrapText="1"/>
    </xf>
    <xf numFmtId="0" fontId="5" fillId="0" borderId="33" xfId="0" applyFont="1" applyBorder="1" applyAlignment="1">
      <alignment horizontal="center" wrapText="1"/>
    </xf>
    <xf numFmtId="0" fontId="55" fillId="0" borderId="11" xfId="8" applyFont="1" applyBorder="1" applyAlignment="1">
      <alignment vertical="top" wrapText="1"/>
    </xf>
    <xf numFmtId="43" fontId="54" fillId="3" borderId="10" xfId="8" applyNumberFormat="1" applyFont="1" applyFill="1" applyBorder="1" applyAlignment="1">
      <alignment horizontal="center" wrapText="1"/>
    </xf>
    <xf numFmtId="0" fontId="5" fillId="0" borderId="177" xfId="0" applyFont="1" applyBorder="1"/>
    <xf numFmtId="0" fontId="55" fillId="3" borderId="12" xfId="8" applyFont="1" applyFill="1" applyBorder="1" applyAlignment="1">
      <alignment vertical="center" readingOrder="1"/>
    </xf>
    <xf numFmtId="0" fontId="55" fillId="3" borderId="50" xfId="8" applyFont="1" applyFill="1" applyBorder="1" applyAlignment="1">
      <alignment vertical="center" wrapText="1" readingOrder="1"/>
    </xf>
    <xf numFmtId="0" fontId="54" fillId="3" borderId="12" xfId="8" quotePrefix="1" applyFont="1" applyFill="1" applyBorder="1" applyAlignment="1">
      <alignment horizontal="left" wrapText="1"/>
    </xf>
    <xf numFmtId="0" fontId="24" fillId="3" borderId="12" xfId="0" quotePrefix="1" applyFont="1" applyFill="1" applyBorder="1" applyAlignment="1">
      <alignment horizontal="center" vertical="center" wrapText="1"/>
    </xf>
    <xf numFmtId="0" fontId="5" fillId="3" borderId="177" xfId="0" applyFont="1" applyFill="1" applyBorder="1"/>
    <xf numFmtId="0" fontId="5" fillId="3" borderId="52" xfId="0" applyNumberFormat="1" applyFont="1" applyFill="1" applyBorder="1" applyAlignment="1">
      <alignment horizontal="center" vertical="center" wrapText="1"/>
    </xf>
    <xf numFmtId="0" fontId="5" fillId="3" borderId="50" xfId="0" applyFont="1" applyFill="1" applyBorder="1" applyAlignment="1">
      <alignment horizontal="center" wrapText="1"/>
    </xf>
    <xf numFmtId="0" fontId="5" fillId="3" borderId="33" xfId="0" applyFont="1" applyFill="1" applyBorder="1" applyAlignment="1">
      <alignment horizontal="center" wrapText="1"/>
    </xf>
    <xf numFmtId="0" fontId="7" fillId="3" borderId="12" xfId="0" applyFont="1" applyFill="1" applyBorder="1" applyAlignment="1">
      <alignment horizontal="left" wrapText="1"/>
    </xf>
    <xf numFmtId="0" fontId="7" fillId="3" borderId="11" xfId="0" applyNumberFormat="1" applyFont="1" applyFill="1" applyBorder="1" applyAlignment="1">
      <alignment horizontal="center" vertical="center" wrapText="1"/>
    </xf>
    <xf numFmtId="43" fontId="7" fillId="3" borderId="11" xfId="0" applyNumberFormat="1" applyFont="1" applyFill="1" applyBorder="1" applyAlignment="1">
      <alignment horizontal="center" wrapText="1"/>
    </xf>
    <xf numFmtId="167" fontId="7" fillId="3" borderId="12" xfId="11" applyNumberFormat="1" applyFont="1" applyFill="1" applyBorder="1" applyAlignment="1">
      <alignment horizontal="center" wrapText="1"/>
    </xf>
    <xf numFmtId="0" fontId="7" fillId="3" borderId="50" xfId="0" applyFont="1" applyFill="1" applyBorder="1" applyAlignment="1">
      <alignment readingOrder="1"/>
    </xf>
    <xf numFmtId="0" fontId="7" fillId="0" borderId="12" xfId="8" applyFont="1" applyFill="1" applyBorder="1" applyAlignment="1">
      <alignment horizontal="left" wrapText="1"/>
    </xf>
    <xf numFmtId="0" fontId="7" fillId="3" borderId="11" xfId="8" applyNumberFormat="1" applyFont="1" applyFill="1" applyBorder="1" applyAlignment="1">
      <alignment horizontal="center" vertical="center" wrapText="1"/>
    </xf>
    <xf numFmtId="43" fontId="7" fillId="3" borderId="11" xfId="8" applyNumberFormat="1" applyFont="1" applyFill="1" applyBorder="1" applyAlignment="1">
      <alignment horizontal="center" wrapText="1"/>
    </xf>
    <xf numFmtId="167" fontId="7" fillId="3" borderId="12" xfId="8" applyNumberFormat="1" applyFont="1" applyFill="1" applyBorder="1" applyAlignment="1">
      <alignment horizontal="center" wrapText="1"/>
    </xf>
    <xf numFmtId="43" fontId="7" fillId="3" borderId="12" xfId="1" quotePrefix="1" applyFont="1" applyFill="1" applyBorder="1" applyAlignment="1">
      <alignment horizontal="left" wrapText="1"/>
    </xf>
    <xf numFmtId="43" fontId="7" fillId="3" borderId="12" xfId="8" applyNumberFormat="1" applyFont="1" applyFill="1" applyBorder="1" applyAlignment="1">
      <alignment horizontal="center" wrapText="1"/>
    </xf>
    <xf numFmtId="167" fontId="7" fillId="3" borderId="102" xfId="8" applyNumberFormat="1" applyFont="1" applyFill="1" applyBorder="1" applyAlignment="1">
      <alignment horizontal="center" wrapText="1"/>
    </xf>
    <xf numFmtId="49" fontId="7" fillId="3" borderId="12" xfId="8" quotePrefix="1" applyNumberFormat="1" applyFont="1" applyFill="1" applyBorder="1" applyAlignment="1">
      <alignment horizontal="left" wrapText="1"/>
    </xf>
    <xf numFmtId="49" fontId="7" fillId="3" borderId="12" xfId="8" applyNumberFormat="1" applyFont="1" applyFill="1" applyBorder="1" applyAlignment="1">
      <alignment horizontal="left" wrapText="1"/>
    </xf>
    <xf numFmtId="167" fontId="7" fillId="3" borderId="10" xfId="8" applyNumberFormat="1" applyFont="1" applyFill="1" applyBorder="1" applyAlignment="1">
      <alignment horizontal="center" wrapText="1"/>
    </xf>
    <xf numFmtId="0" fontId="49" fillId="0" borderId="50" xfId="0" applyFont="1" applyFill="1" applyBorder="1" applyAlignment="1">
      <alignment vertical="center" wrapText="1" readingOrder="1"/>
    </xf>
    <xf numFmtId="0" fontId="7" fillId="0" borderId="11" xfId="11" applyNumberFormat="1" applyFont="1" applyFill="1" applyBorder="1" applyAlignment="1">
      <alignment horizontal="center" vertical="center" wrapText="1" readingOrder="1"/>
    </xf>
    <xf numFmtId="43" fontId="57" fillId="0" borderId="12" xfId="0" applyNumberFormat="1" applyFont="1" applyFill="1" applyBorder="1" applyAlignment="1">
      <alignment horizontal="center" vertical="center" wrapText="1" readingOrder="1"/>
    </xf>
    <xf numFmtId="43" fontId="57" fillId="0" borderId="10" xfId="0" applyNumberFormat="1" applyFont="1" applyFill="1" applyBorder="1" applyAlignment="1">
      <alignment horizontal="center" vertical="center" wrapText="1" readingOrder="1"/>
    </xf>
    <xf numFmtId="0" fontId="7" fillId="0" borderId="12" xfId="0" applyFont="1" applyFill="1" applyBorder="1" applyAlignment="1">
      <alignment horizontal="left" wrapText="1"/>
    </xf>
    <xf numFmtId="0" fontId="7" fillId="0" borderId="50" xfId="0" applyFont="1" applyFill="1" applyBorder="1" applyAlignment="1">
      <alignment horizontal="left" wrapText="1"/>
    </xf>
    <xf numFmtId="0" fontId="7" fillId="0" borderId="50" xfId="0" applyFont="1" applyFill="1" applyBorder="1" applyAlignment="1">
      <alignment wrapText="1" readingOrder="1"/>
    </xf>
    <xf numFmtId="0" fontId="7" fillId="0" borderId="50" xfId="0" quotePrefix="1" applyFont="1" applyFill="1" applyBorder="1" applyAlignment="1">
      <alignment horizontal="left" wrapText="1"/>
    </xf>
    <xf numFmtId="0" fontId="7" fillId="0" borderId="12" xfId="0" quotePrefix="1" applyFont="1" applyFill="1" applyBorder="1" applyAlignment="1">
      <alignment horizontal="left" wrapText="1"/>
    </xf>
    <xf numFmtId="0" fontId="49" fillId="0" borderId="12" xfId="0" applyFont="1" applyFill="1" applyBorder="1" applyAlignment="1">
      <alignment vertical="center" readingOrder="1"/>
    </xf>
    <xf numFmtId="0" fontId="58" fillId="0" borderId="47" xfId="0" applyFont="1" applyFill="1" applyBorder="1" applyAlignment="1">
      <alignment vertical="center" wrapText="1" readingOrder="1"/>
    </xf>
    <xf numFmtId="0" fontId="7" fillId="0" borderId="102" xfId="0" quotePrefix="1" applyFont="1" applyFill="1" applyBorder="1" applyAlignment="1">
      <alignment wrapText="1" readingOrder="1"/>
    </xf>
    <xf numFmtId="0" fontId="7" fillId="0" borderId="47" xfId="0" applyFont="1" applyFill="1" applyBorder="1" applyAlignment="1">
      <alignment wrapText="1" readingOrder="1"/>
    </xf>
    <xf numFmtId="0" fontId="7" fillId="0" borderId="40" xfId="0" applyFont="1" applyFill="1" applyBorder="1" applyAlignment="1">
      <alignment horizontal="left" vertical="top" wrapText="1"/>
    </xf>
    <xf numFmtId="0" fontId="49" fillId="0" borderId="50" xfId="0" applyFont="1" applyFill="1" applyBorder="1" applyAlignment="1">
      <alignment wrapText="1" readingOrder="1"/>
    </xf>
    <xf numFmtId="0" fontId="7" fillId="0" borderId="47" xfId="0" quotePrefix="1" applyFont="1" applyFill="1" applyBorder="1" applyAlignment="1">
      <alignment wrapText="1" readingOrder="1"/>
    </xf>
    <xf numFmtId="41" fontId="7" fillId="0" borderId="12" xfId="12" applyFont="1" applyFill="1" applyBorder="1" applyAlignment="1">
      <alignment horizontal="center" wrapText="1"/>
    </xf>
    <xf numFmtId="0" fontId="58" fillId="0" borderId="12" xfId="0" quotePrefix="1" applyFont="1" applyBorder="1" applyAlignment="1">
      <alignment readingOrder="1"/>
    </xf>
    <xf numFmtId="0" fontId="58" fillId="3" borderId="12" xfId="0" applyFont="1" applyFill="1" applyBorder="1" applyAlignment="1">
      <alignment readingOrder="1"/>
    </xf>
    <xf numFmtId="167" fontId="7" fillId="3" borderId="12" xfId="0" applyNumberFormat="1" applyFont="1" applyFill="1" applyBorder="1" applyAlignment="1">
      <alignment horizontal="center" wrapText="1"/>
    </xf>
    <xf numFmtId="0" fontId="7" fillId="0" borderId="47" xfId="0" applyFont="1" applyFill="1" applyBorder="1" applyAlignment="1">
      <alignment vertical="center" wrapText="1" readingOrder="1"/>
    </xf>
    <xf numFmtId="0" fontId="7" fillId="3" borderId="12" xfId="0" applyFont="1" applyFill="1" applyBorder="1" applyAlignment="1">
      <alignment readingOrder="1"/>
    </xf>
    <xf numFmtId="0" fontId="7" fillId="0" borderId="12" xfId="0" applyFont="1" applyFill="1" applyBorder="1" applyAlignment="1">
      <alignment horizontal="left" vertical="center" wrapText="1" readingOrder="1"/>
    </xf>
    <xf numFmtId="0" fontId="7" fillId="3" borderId="52" xfId="12" applyNumberFormat="1" applyFont="1" applyFill="1" applyBorder="1" applyAlignment="1">
      <alignment horizontal="center" vertical="center" wrapText="1"/>
    </xf>
    <xf numFmtId="43" fontId="7" fillId="3" borderId="52" xfId="0" applyNumberFormat="1" applyFont="1" applyFill="1" applyBorder="1" applyAlignment="1">
      <alignment horizontal="center" wrapText="1"/>
    </xf>
    <xf numFmtId="167" fontId="7" fillId="3" borderId="50" xfId="0" applyNumberFormat="1" applyFont="1" applyFill="1" applyBorder="1" applyAlignment="1">
      <alignment horizontal="center" wrapText="1"/>
    </xf>
    <xf numFmtId="167" fontId="7" fillId="3" borderId="101" xfId="0" applyNumberFormat="1" applyFont="1" applyFill="1" applyBorder="1" applyAlignment="1">
      <alignment horizontal="center" wrapText="1"/>
    </xf>
    <xf numFmtId="0" fontId="54" fillId="0" borderId="52" xfId="13" applyNumberFormat="1" applyFont="1" applyFill="1" applyBorder="1" applyAlignment="1">
      <alignment horizontal="center" vertical="center" wrapText="1"/>
    </xf>
    <xf numFmtId="43" fontId="54" fillId="0" borderId="52" xfId="13" applyNumberFormat="1" applyFont="1" applyFill="1" applyBorder="1" applyAlignment="1">
      <alignment horizontal="center" vertical="center" wrapText="1"/>
    </xf>
    <xf numFmtId="167" fontId="54" fillId="0" borderId="50" xfId="13" applyNumberFormat="1" applyFont="1" applyFill="1" applyBorder="1" applyAlignment="1">
      <alignment horizontal="center" vertical="center" wrapText="1"/>
    </xf>
    <xf numFmtId="167" fontId="54" fillId="0" borderId="101" xfId="13" applyNumberFormat="1" applyFont="1" applyFill="1" applyBorder="1" applyAlignment="1">
      <alignment horizontal="center" vertical="center" wrapText="1"/>
    </xf>
    <xf numFmtId="167" fontId="5" fillId="3" borderId="43" xfId="0" applyNumberFormat="1" applyFont="1" applyFill="1" applyBorder="1" applyAlignment="1">
      <alignment horizontal="center" wrapText="1"/>
    </xf>
    <xf numFmtId="167" fontId="7" fillId="3" borderId="43" xfId="11" applyNumberFormat="1" applyFont="1" applyFill="1" applyBorder="1" applyAlignment="1">
      <alignment horizontal="center" wrapText="1"/>
    </xf>
    <xf numFmtId="167" fontId="7" fillId="3" borderId="43" xfId="8" applyNumberFormat="1" applyFont="1" applyFill="1" applyBorder="1" applyAlignment="1">
      <alignment horizontal="center" wrapText="1"/>
    </xf>
    <xf numFmtId="167" fontId="5" fillId="0" borderId="43" xfId="0" applyNumberFormat="1" applyFont="1" applyFill="1" applyBorder="1" applyAlignment="1">
      <alignment horizontal="center" vertical="center" wrapText="1" readingOrder="1"/>
    </xf>
    <xf numFmtId="167" fontId="7" fillId="0" borderId="162" xfId="0" applyNumberFormat="1" applyFont="1" applyBorder="1" applyAlignment="1">
      <alignment horizontal="center" wrapText="1"/>
    </xf>
    <xf numFmtId="167" fontId="5" fillId="0" borderId="43" xfId="0" applyNumberFormat="1" applyFont="1" applyFill="1" applyBorder="1" applyAlignment="1">
      <alignment horizontal="center" wrapText="1"/>
    </xf>
    <xf numFmtId="167" fontId="7" fillId="0" borderId="11" xfId="0" applyNumberFormat="1" applyFont="1" applyBorder="1" applyAlignment="1">
      <alignment horizontal="center" wrapText="1"/>
    </xf>
    <xf numFmtId="167" fontId="7" fillId="3" borderId="11" xfId="0" applyNumberFormat="1" applyFont="1" applyFill="1" applyBorder="1" applyAlignment="1">
      <alignment horizontal="center" wrapText="1"/>
    </xf>
    <xf numFmtId="43" fontId="7" fillId="3" borderId="52" xfId="13" applyNumberFormat="1" applyFont="1" applyFill="1" applyBorder="1" applyAlignment="1">
      <alignment horizontal="center" vertical="center" wrapText="1"/>
    </xf>
    <xf numFmtId="41" fontId="7" fillId="0" borderId="50" xfId="2" applyFont="1" applyBorder="1" applyAlignment="1">
      <alignment horizontal="right" vertical="center"/>
    </xf>
    <xf numFmtId="167" fontId="7" fillId="0" borderId="33" xfId="13" applyNumberFormat="1" applyFont="1" applyFill="1" applyBorder="1" applyAlignment="1">
      <alignment horizontal="center" vertical="center" wrapText="1"/>
    </xf>
    <xf numFmtId="0" fontId="50" fillId="0" borderId="177" xfId="0" applyFont="1" applyBorder="1" applyAlignment="1">
      <alignment horizontal="center" vertical="center"/>
    </xf>
    <xf numFmtId="41" fontId="50" fillId="0" borderId="177" xfId="3" applyFont="1" applyBorder="1" applyAlignment="1">
      <alignment vertical="center"/>
    </xf>
    <xf numFmtId="43" fontId="7" fillId="3" borderId="12" xfId="13" applyNumberFormat="1" applyFont="1" applyFill="1" applyBorder="1" applyAlignment="1">
      <alignment horizontal="center" vertical="center" wrapText="1"/>
    </xf>
    <xf numFmtId="167" fontId="54" fillId="0" borderId="12" xfId="0" applyNumberFormat="1" applyFont="1" applyBorder="1" applyAlignment="1">
      <alignment vertical="center"/>
    </xf>
    <xf numFmtId="0" fontId="5" fillId="0" borderId="15" xfId="0" applyFont="1" applyBorder="1" applyAlignment="1">
      <alignment horizontal="left" wrapText="1"/>
    </xf>
    <xf numFmtId="0" fontId="58" fillId="0" borderId="12" xfId="0" applyFont="1" applyBorder="1" applyAlignment="1">
      <alignment wrapText="1" readingOrder="1"/>
    </xf>
    <xf numFmtId="0" fontId="49" fillId="0" borderId="12" xfId="0" applyFont="1" applyBorder="1"/>
    <xf numFmtId="0" fontId="58" fillId="0" borderId="12" xfId="0" applyFont="1" applyBorder="1"/>
    <xf numFmtId="167" fontId="7" fillId="0" borderId="11" xfId="0" applyNumberFormat="1" applyFont="1" applyFill="1" applyBorder="1" applyAlignment="1">
      <alignment horizontal="center" wrapText="1"/>
    </xf>
    <xf numFmtId="0" fontId="58" fillId="0" borderId="12" xfId="0" quotePrefix="1" applyFont="1" applyBorder="1" applyAlignment="1">
      <alignment wrapText="1"/>
    </xf>
    <xf numFmtId="0" fontId="58" fillId="0" borderId="10" xfId="0" quotePrefix="1" applyFont="1" applyBorder="1"/>
    <xf numFmtId="0" fontId="7" fillId="0" borderId="11" xfId="0" applyFont="1" applyBorder="1" applyAlignment="1">
      <alignment horizontal="center"/>
    </xf>
    <xf numFmtId="0" fontId="54" fillId="3" borderId="61" xfId="0" applyFont="1" applyFill="1" applyBorder="1" applyAlignment="1">
      <alignment horizontal="center" vertical="center" wrapText="1"/>
    </xf>
    <xf numFmtId="0" fontId="54" fillId="3" borderId="10" xfId="0" quotePrefix="1" applyFont="1" applyFill="1" applyBorder="1" applyAlignment="1">
      <alignment horizontal="center" vertical="center" wrapText="1"/>
    </xf>
    <xf numFmtId="0" fontId="54" fillId="3" borderId="10" xfId="0" quotePrefix="1" applyFont="1" applyFill="1" applyBorder="1" applyAlignment="1">
      <alignment vertical="center" wrapText="1"/>
    </xf>
    <xf numFmtId="0" fontId="54" fillId="3" borderId="10" xfId="0" applyFont="1" applyFill="1" applyBorder="1" applyAlignment="1">
      <alignment horizontal="center" vertical="center" wrapText="1"/>
    </xf>
    <xf numFmtId="0" fontId="54" fillId="3" borderId="11" xfId="0" applyFont="1" applyFill="1" applyBorder="1" applyAlignment="1">
      <alignment horizontal="center" vertical="center"/>
    </xf>
    <xf numFmtId="43" fontId="54" fillId="3" borderId="11" xfId="0" applyNumberFormat="1" applyFont="1" applyFill="1" applyBorder="1" applyAlignment="1">
      <alignment horizontal="center" vertical="center" wrapText="1"/>
    </xf>
    <xf numFmtId="167" fontId="54" fillId="3" borderId="12" xfId="0" applyNumberFormat="1" applyFont="1" applyFill="1" applyBorder="1" applyAlignment="1">
      <alignment horizontal="center" vertical="center" wrapText="1"/>
    </xf>
    <xf numFmtId="0" fontId="54" fillId="3" borderId="61" xfId="0" applyFont="1" applyFill="1" applyBorder="1" applyAlignment="1">
      <alignment horizontal="center" wrapText="1"/>
    </xf>
    <xf numFmtId="0" fontId="54" fillId="3" borderId="10" xfId="0" quotePrefix="1" applyFont="1" applyFill="1" applyBorder="1" applyAlignment="1">
      <alignment horizontal="center" wrapText="1"/>
    </xf>
    <xf numFmtId="0" fontId="54" fillId="3" borderId="10" xfId="0" quotePrefix="1" applyFont="1" applyFill="1" applyBorder="1" applyAlignment="1">
      <alignment wrapText="1"/>
    </xf>
    <xf numFmtId="0" fontId="54" fillId="3" borderId="10" xfId="0" applyFont="1" applyFill="1" applyBorder="1" applyAlignment="1">
      <alignment horizontal="center" wrapText="1"/>
    </xf>
    <xf numFmtId="0" fontId="54" fillId="3" borderId="102" xfId="0" quotePrefix="1" applyFont="1" applyFill="1" applyBorder="1" applyAlignment="1">
      <alignment horizontal="left" wrapText="1"/>
    </xf>
    <xf numFmtId="43" fontId="54" fillId="3" borderId="102" xfId="8" applyNumberFormat="1" applyFont="1" applyFill="1" applyBorder="1" applyAlignment="1">
      <alignment horizontal="center" wrapText="1"/>
    </xf>
    <xf numFmtId="167" fontId="54" fillId="3" borderId="102" xfId="8" applyNumberFormat="1" applyFont="1" applyFill="1" applyBorder="1" applyAlignment="1">
      <alignment horizontal="center" wrapText="1"/>
    </xf>
    <xf numFmtId="0" fontId="54" fillId="3" borderId="102" xfId="0" quotePrefix="1" applyFont="1" applyFill="1" applyBorder="1" applyAlignment="1">
      <alignment horizontal="left" vertical="center" wrapText="1"/>
    </xf>
    <xf numFmtId="0" fontId="54" fillId="3" borderId="46" xfId="0" quotePrefix="1" applyFont="1" applyFill="1" applyBorder="1" applyAlignment="1">
      <alignment horizontal="left" vertical="center" wrapText="1"/>
    </xf>
    <xf numFmtId="0" fontId="54" fillId="0" borderId="160" xfId="0" applyFont="1" applyBorder="1" applyAlignment="1">
      <alignment horizontal="center" wrapText="1"/>
    </xf>
    <xf numFmtId="0" fontId="54" fillId="0" borderId="102" xfId="0" quotePrefix="1" applyFont="1" applyBorder="1" applyAlignment="1">
      <alignment horizontal="center" wrapText="1"/>
    </xf>
    <xf numFmtId="0" fontId="54" fillId="0" borderId="102" xfId="0" quotePrefix="1" applyFont="1" applyBorder="1" applyAlignment="1">
      <alignment wrapText="1"/>
    </xf>
    <xf numFmtId="0" fontId="54" fillId="0" borderId="102" xfId="0" applyFont="1" applyBorder="1" applyAlignment="1">
      <alignment horizontal="center" wrapText="1"/>
    </xf>
    <xf numFmtId="0" fontId="54" fillId="0" borderId="102" xfId="0" applyFont="1" applyBorder="1" applyAlignment="1">
      <alignment readingOrder="1"/>
    </xf>
    <xf numFmtId="43" fontId="54" fillId="0" borderId="102" xfId="0" applyNumberFormat="1" applyFont="1" applyFill="1" applyBorder="1" applyAlignment="1">
      <alignment horizontal="center" wrapText="1"/>
    </xf>
    <xf numFmtId="167" fontId="54" fillId="0" borderId="102" xfId="11" applyNumberFormat="1" applyFont="1" applyBorder="1" applyAlignment="1">
      <alignment horizontal="center" wrapText="1"/>
    </xf>
    <xf numFmtId="0" fontId="54" fillId="0" borderId="61" xfId="0" applyFont="1" applyBorder="1" applyAlignment="1">
      <alignment horizontal="center" wrapText="1"/>
    </xf>
    <xf numFmtId="0" fontId="54" fillId="0" borderId="10" xfId="0" quotePrefix="1" applyFont="1" applyBorder="1" applyAlignment="1">
      <alignment horizontal="center" wrapText="1"/>
    </xf>
    <xf numFmtId="0" fontId="55" fillId="0" borderId="102" xfId="0" applyFont="1" applyBorder="1" applyAlignment="1">
      <alignment wrapText="1" readingOrder="1"/>
    </xf>
    <xf numFmtId="43" fontId="56" fillId="0" borderId="102" xfId="0" applyNumberFormat="1" applyFont="1" applyBorder="1" applyAlignment="1">
      <alignment horizontal="center" wrapText="1"/>
    </xf>
    <xf numFmtId="0" fontId="54" fillId="0" borderId="102" xfId="0" applyFont="1" applyFill="1" applyBorder="1" applyAlignment="1">
      <alignment horizontal="left" wrapText="1"/>
    </xf>
    <xf numFmtId="0" fontId="54" fillId="0" borderId="102" xfId="0" quotePrefix="1" applyFont="1" applyFill="1" applyBorder="1" applyAlignment="1">
      <alignment horizontal="left" wrapText="1"/>
    </xf>
    <xf numFmtId="167" fontId="54" fillId="0" borderId="102" xfId="0" applyNumberFormat="1" applyFont="1" applyFill="1" applyBorder="1" applyAlignment="1">
      <alignment horizontal="center" wrapText="1"/>
    </xf>
    <xf numFmtId="0" fontId="54" fillId="0" borderId="102" xfId="0" quotePrefix="1" applyFont="1" applyBorder="1" applyAlignment="1">
      <alignment wrapText="1" readingOrder="1"/>
    </xf>
    <xf numFmtId="0" fontId="7" fillId="0" borderId="10" xfId="0" applyFont="1" applyFill="1" applyBorder="1" applyAlignment="1">
      <alignment horizontal="left" wrapText="1"/>
    </xf>
    <xf numFmtId="0" fontId="7" fillId="0" borderId="12" xfId="0" applyFont="1" applyBorder="1" applyAlignment="1">
      <alignment horizontal="center"/>
    </xf>
    <xf numFmtId="0" fontId="54" fillId="0" borderId="12" xfId="0" quotePrefix="1" applyFont="1" applyBorder="1" applyAlignment="1">
      <alignment wrapText="1"/>
    </xf>
    <xf numFmtId="0" fontId="54" fillId="0" borderId="12" xfId="0" applyFont="1" applyBorder="1" applyAlignment="1">
      <alignment horizontal="center" wrapText="1"/>
    </xf>
    <xf numFmtId="0" fontId="54" fillId="0" borderId="10" xfId="0" applyFont="1" applyBorder="1" applyAlignment="1">
      <alignment horizontal="center" wrapText="1"/>
    </xf>
    <xf numFmtId="0" fontId="54" fillId="0" borderId="12" xfId="0" applyFont="1" applyBorder="1"/>
    <xf numFmtId="0" fontId="63" fillId="0" borderId="12" xfId="0" applyFont="1" applyBorder="1" applyAlignment="1">
      <alignment horizontal="center"/>
    </xf>
    <xf numFmtId="41" fontId="63" fillId="0" borderId="12" xfId="2" applyFont="1" applyBorder="1" applyAlignment="1">
      <alignment horizontal="center"/>
    </xf>
    <xf numFmtId="41" fontId="54" fillId="0" borderId="12" xfId="2" applyFont="1" applyBorder="1"/>
    <xf numFmtId="0" fontId="54" fillId="0" borderId="12" xfId="0" quotePrefix="1" applyFont="1" applyBorder="1"/>
    <xf numFmtId="0" fontId="54" fillId="0" borderId="12" xfId="0" applyFont="1" applyBorder="1" applyAlignment="1">
      <alignment horizontal="center"/>
    </xf>
    <xf numFmtId="41" fontId="54" fillId="0" borderId="12" xfId="2" applyFont="1" applyFill="1" applyBorder="1" applyAlignment="1">
      <alignment horizontal="center"/>
    </xf>
    <xf numFmtId="0" fontId="54" fillId="0" borderId="12" xfId="0" applyFont="1" applyBorder="1" applyAlignment="1">
      <alignment horizontal="center" vertical="center"/>
    </xf>
    <xf numFmtId="0" fontId="68" fillId="0" borderId="207" xfId="0" quotePrefix="1" applyFont="1" applyFill="1" applyBorder="1" applyAlignment="1">
      <alignment vertical="center"/>
    </xf>
    <xf numFmtId="0" fontId="54" fillId="0" borderId="41" xfId="0" applyFont="1" applyBorder="1" applyAlignment="1">
      <alignment horizontal="center" vertical="center"/>
    </xf>
    <xf numFmtId="43" fontId="54" fillId="0" borderId="40" xfId="0" applyNumberFormat="1" applyFont="1" applyFill="1" applyBorder="1" applyAlignment="1">
      <alignment horizontal="center" vertical="center" wrapText="1"/>
    </xf>
    <xf numFmtId="41" fontId="68" fillId="0" borderId="40" xfId="2" applyFont="1" applyBorder="1" applyAlignment="1">
      <alignment horizontal="right" vertical="center"/>
    </xf>
    <xf numFmtId="0" fontId="7" fillId="0" borderId="12" xfId="0" applyFont="1" applyBorder="1"/>
    <xf numFmtId="0" fontId="50" fillId="0" borderId="12" xfId="0" applyFont="1" applyBorder="1" applyAlignment="1">
      <alignment horizontal="center"/>
    </xf>
    <xf numFmtId="41" fontId="50" fillId="0" borderId="12" xfId="2" applyFont="1" applyBorder="1" applyAlignment="1">
      <alignment horizontal="center"/>
    </xf>
    <xf numFmtId="41" fontId="7" fillId="0" borderId="12" xfId="2" applyFont="1" applyBorder="1"/>
    <xf numFmtId="41" fontId="54" fillId="0" borderId="12" xfId="2" applyFont="1" applyBorder="1" applyAlignment="1">
      <alignment horizontal="center"/>
    </xf>
    <xf numFmtId="0" fontId="58" fillId="0" borderId="12" xfId="0" quotePrefix="1" applyFont="1" applyBorder="1"/>
    <xf numFmtId="0" fontId="58" fillId="0" borderId="12" xfId="0" applyFont="1" applyBorder="1" applyAlignment="1">
      <alignment horizontal="center"/>
    </xf>
    <xf numFmtId="41" fontId="58" fillId="0" borderId="12" xfId="2" applyFont="1" applyBorder="1" applyAlignment="1">
      <alignment horizontal="center"/>
    </xf>
    <xf numFmtId="41" fontId="58" fillId="0" borderId="12" xfId="2" applyFont="1" applyBorder="1"/>
    <xf numFmtId="41" fontId="7" fillId="0" borderId="12" xfId="2" applyFont="1" applyBorder="1" applyAlignment="1">
      <alignment horizontal="center" vertical="center"/>
    </xf>
    <xf numFmtId="0" fontId="49" fillId="0" borderId="12" xfId="0" quotePrefix="1" applyFont="1" applyBorder="1"/>
    <xf numFmtId="0" fontId="58" fillId="0" borderId="11" xfId="0" applyFont="1" applyBorder="1" applyAlignment="1">
      <alignment horizontal="center"/>
    </xf>
    <xf numFmtId="41" fontId="58" fillId="0" borderId="11" xfId="2" applyFont="1" applyBorder="1" applyAlignment="1">
      <alignment horizontal="center"/>
    </xf>
    <xf numFmtId="0" fontId="49" fillId="0" borderId="12" xfId="0" applyFont="1" applyBorder="1" applyAlignment="1">
      <alignment vertical="center" wrapText="1" readingOrder="1"/>
    </xf>
    <xf numFmtId="0" fontId="58" fillId="0" borderId="12" xfId="0" applyFont="1" applyBorder="1" applyAlignment="1">
      <alignment wrapText="1"/>
    </xf>
    <xf numFmtId="0" fontId="61" fillId="0" borderId="12" xfId="0" applyFont="1" applyBorder="1" applyAlignment="1">
      <alignment horizontal="center"/>
    </xf>
    <xf numFmtId="41" fontId="61" fillId="0" borderId="12" xfId="2" applyFont="1" applyBorder="1" applyAlignment="1">
      <alignment horizontal="center"/>
    </xf>
    <xf numFmtId="0" fontId="51" fillId="0" borderId="12" xfId="0" quotePrefix="1" applyFont="1" applyFill="1" applyBorder="1" applyAlignment="1">
      <alignment horizontal="left" vertical="top" wrapText="1" readingOrder="1"/>
    </xf>
    <xf numFmtId="0" fontId="51" fillId="0" borderId="12" xfId="0" quotePrefix="1" applyFont="1" applyFill="1" applyBorder="1" applyAlignment="1">
      <alignment horizontal="center" vertical="center" wrapText="1"/>
    </xf>
    <xf numFmtId="41" fontId="7" fillId="0" borderId="12" xfId="1" applyNumberFormat="1" applyFont="1" applyFill="1" applyBorder="1" applyAlignment="1">
      <alignment vertical="center" readingOrder="1"/>
    </xf>
    <xf numFmtId="0" fontId="7" fillId="0" borderId="10" xfId="0" quotePrefix="1" applyFont="1" applyFill="1" applyBorder="1" applyAlignment="1">
      <alignment horizontal="center" vertical="center" wrapText="1"/>
    </xf>
    <xf numFmtId="0" fontId="7" fillId="0" borderId="12" xfId="0" applyFont="1" applyFill="1" applyBorder="1" applyAlignment="1">
      <alignment wrapText="1"/>
    </xf>
    <xf numFmtId="41" fontId="7" fillId="0" borderId="12" xfId="1" applyNumberFormat="1" applyFont="1" applyFill="1" applyBorder="1" applyAlignment="1">
      <alignment vertical="top" readingOrder="1"/>
    </xf>
    <xf numFmtId="0" fontId="51" fillId="0" borderId="12" xfId="0" quotePrefix="1" applyFont="1" applyFill="1" applyBorder="1" applyAlignment="1">
      <alignment horizontal="center" vertical="top" wrapText="1"/>
    </xf>
    <xf numFmtId="41" fontId="58" fillId="0" borderId="12" xfId="2" applyFont="1" applyFill="1" applyBorder="1" applyAlignment="1">
      <alignment horizontal="center"/>
    </xf>
    <xf numFmtId="0" fontId="54" fillId="0" borderId="46" xfId="0" applyFont="1" applyBorder="1" applyAlignment="1">
      <alignment horizontal="center" wrapText="1"/>
    </xf>
    <xf numFmtId="0" fontId="55" fillId="0" borderId="10" xfId="0" applyFont="1" applyBorder="1" applyAlignment="1">
      <alignment horizontal="left" wrapText="1" readingOrder="1"/>
    </xf>
    <xf numFmtId="167" fontId="54" fillId="0" borderId="11" xfId="0" applyNumberFormat="1" applyFont="1" applyFill="1" applyBorder="1" applyAlignment="1">
      <alignment horizontal="center" wrapText="1"/>
    </xf>
    <xf numFmtId="43" fontId="54" fillId="0" borderId="11" xfId="0" applyNumberFormat="1" applyFont="1" applyFill="1" applyBorder="1" applyAlignment="1">
      <alignment horizontal="center" wrapText="1"/>
    </xf>
    <xf numFmtId="167" fontId="54" fillId="0" borderId="12" xfId="0" applyNumberFormat="1" applyFont="1" applyFill="1" applyBorder="1" applyAlignment="1">
      <alignment horizontal="center" wrapText="1"/>
    </xf>
    <xf numFmtId="0" fontId="54" fillId="0" borderId="46" xfId="0" quotePrefix="1" applyFont="1" applyBorder="1" applyAlignment="1">
      <alignment horizontal="center" wrapText="1"/>
    </xf>
    <xf numFmtId="0" fontId="54" fillId="0" borderId="10" xfId="0" applyFont="1" applyBorder="1" applyAlignment="1">
      <alignment horizontal="left" wrapText="1" readingOrder="1"/>
    </xf>
    <xf numFmtId="0" fontId="54" fillId="0" borderId="61"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40" xfId="0" applyFont="1" applyBorder="1" applyAlignment="1">
      <alignment vertical="center" wrapText="1"/>
    </xf>
    <xf numFmtId="0" fontId="54" fillId="0" borderId="10" xfId="0" quotePrefix="1" applyFont="1" applyBorder="1" applyAlignment="1">
      <alignment horizontal="center" vertical="center" wrapText="1"/>
    </xf>
    <xf numFmtId="0" fontId="54" fillId="0" borderId="102" xfId="0" quotePrefix="1" applyFont="1" applyBorder="1" applyAlignment="1">
      <alignment vertical="center" wrapText="1" readingOrder="1"/>
    </xf>
    <xf numFmtId="0" fontId="54" fillId="0" borderId="102" xfId="0" applyNumberFormat="1" applyFont="1" applyFill="1" applyBorder="1" applyAlignment="1">
      <alignment horizontal="center" vertical="center" wrapText="1" readingOrder="1"/>
    </xf>
    <xf numFmtId="43" fontId="54" fillId="0" borderId="102" xfId="0" applyNumberFormat="1" applyFont="1" applyFill="1" applyBorder="1" applyAlignment="1">
      <alignment horizontal="center" vertical="center" wrapText="1" readingOrder="1"/>
    </xf>
    <xf numFmtId="167" fontId="54" fillId="0" borderId="102" xfId="0" applyNumberFormat="1" applyFont="1" applyFill="1" applyBorder="1" applyAlignment="1">
      <alignment horizontal="center" vertical="center" wrapText="1" readingOrder="1"/>
    </xf>
    <xf numFmtId="0" fontId="51" fillId="0" borderId="11" xfId="0" quotePrefix="1" applyFont="1" applyFill="1" applyBorder="1" applyAlignment="1">
      <alignment horizontal="center" vertical="top" wrapText="1"/>
    </xf>
    <xf numFmtId="41" fontId="58" fillId="0" borderId="11" xfId="2" applyFont="1" applyFill="1" applyBorder="1" applyAlignment="1">
      <alignment horizontal="center"/>
    </xf>
    <xf numFmtId="0" fontId="61" fillId="0" borderId="12" xfId="0" quotePrefix="1" applyFont="1" applyBorder="1"/>
    <xf numFmtId="41" fontId="61" fillId="0" borderId="12" xfId="2" applyFont="1" applyBorder="1"/>
    <xf numFmtId="167" fontId="5" fillId="0" borderId="11" xfId="0" applyNumberFormat="1" applyFont="1" applyFill="1" applyBorder="1" applyAlignment="1">
      <alignment horizontal="center" vertical="center" wrapText="1"/>
    </xf>
    <xf numFmtId="43" fontId="5" fillId="0" borderId="11" xfId="0" applyNumberFormat="1" applyFont="1" applyFill="1" applyBorder="1" applyAlignment="1">
      <alignment horizontal="center" vertical="center" wrapText="1"/>
    </xf>
    <xf numFmtId="167" fontId="5" fillId="0" borderId="12" xfId="0" applyNumberFormat="1" applyFont="1" applyFill="1" applyBorder="1" applyAlignment="1">
      <alignment horizontal="center" vertical="center" wrapText="1"/>
    </xf>
    <xf numFmtId="0" fontId="1" fillId="0" borderId="0" xfId="0" quotePrefix="1" applyFont="1" applyFill="1" applyBorder="1" applyAlignment="1">
      <alignment vertical="center"/>
    </xf>
    <xf numFmtId="0" fontId="7" fillId="0" borderId="163" xfId="0" applyFont="1" applyBorder="1" applyAlignment="1">
      <alignment horizontal="center" vertical="center"/>
    </xf>
    <xf numFmtId="0" fontId="55" fillId="3" borderId="50" xfId="0" applyFont="1" applyFill="1" applyBorder="1" applyAlignment="1">
      <alignment wrapText="1" readingOrder="1"/>
    </xf>
    <xf numFmtId="0" fontId="54" fillId="3" borderId="101" xfId="0" applyFont="1" applyFill="1" applyBorder="1" applyAlignment="1">
      <alignment wrapText="1" readingOrder="1"/>
    </xf>
    <xf numFmtId="167" fontId="7" fillId="3" borderId="163" xfId="0" applyNumberFormat="1" applyFont="1" applyFill="1" applyBorder="1" applyAlignment="1">
      <alignment horizontal="center" wrapText="1"/>
    </xf>
    <xf numFmtId="43" fontId="7" fillId="3" borderId="163" xfId="0" applyNumberFormat="1" applyFont="1" applyFill="1" applyBorder="1" applyAlignment="1">
      <alignment horizontal="center" wrapText="1"/>
    </xf>
    <xf numFmtId="167" fontId="7" fillId="3" borderId="177" xfId="0" applyNumberFormat="1" applyFont="1" applyFill="1" applyBorder="1" applyAlignment="1">
      <alignment horizontal="center" wrapText="1"/>
    </xf>
    <xf numFmtId="0" fontId="55" fillId="3" borderId="101" xfId="0" applyFont="1" applyFill="1" applyBorder="1" applyAlignment="1">
      <alignment wrapText="1" readingOrder="1"/>
    </xf>
    <xf numFmtId="0" fontId="7" fillId="0" borderId="50" xfId="0" quotePrefix="1" applyFont="1" applyBorder="1" applyAlignment="1">
      <alignment wrapText="1"/>
    </xf>
    <xf numFmtId="0" fontId="1" fillId="0" borderId="12" xfId="0" quotePrefix="1" applyFont="1" applyBorder="1" applyAlignment="1">
      <alignment horizontal="left" vertical="center" wrapText="1"/>
    </xf>
    <xf numFmtId="0" fontId="1" fillId="0" borderId="12" xfId="0" applyFont="1" applyBorder="1" applyAlignment="1">
      <alignment horizontal="center" vertical="center"/>
    </xf>
    <xf numFmtId="0" fontId="1" fillId="0" borderId="12" xfId="0" quotePrefix="1" applyFont="1" applyFill="1" applyBorder="1" applyAlignment="1">
      <alignment vertical="top" wrapText="1"/>
    </xf>
    <xf numFmtId="0" fontId="1" fillId="0" borderId="50" xfId="0" quotePrefix="1" applyFont="1" applyFill="1" applyBorder="1" applyAlignment="1">
      <alignment vertical="top" wrapText="1"/>
    </xf>
    <xf numFmtId="0" fontId="55" fillId="3" borderId="12" xfId="0" applyFont="1" applyFill="1" applyBorder="1" applyAlignment="1">
      <alignment wrapText="1" readingOrder="1"/>
    </xf>
    <xf numFmtId="0" fontId="0" fillId="0" borderId="45" xfId="0" applyBorder="1" applyAlignment="1">
      <alignment horizontal="center" vertical="center"/>
    </xf>
    <xf numFmtId="0" fontId="1" fillId="0" borderId="44" xfId="0" applyFont="1" applyBorder="1" applyAlignment="1">
      <alignment horizontal="center" vertical="center"/>
    </xf>
    <xf numFmtId="41" fontId="7" fillId="0" borderId="12" xfId="2" applyFont="1" applyBorder="1" applyAlignment="1">
      <alignment vertical="center" wrapText="1"/>
    </xf>
    <xf numFmtId="167" fontId="5" fillId="0" borderId="134" xfId="0" applyNumberFormat="1" applyFont="1" applyBorder="1" applyAlignment="1">
      <alignment horizontal="center" wrapText="1"/>
    </xf>
    <xf numFmtId="167" fontId="54" fillId="3" borderId="162" xfId="8" applyNumberFormat="1" applyFont="1" applyFill="1" applyBorder="1" applyAlignment="1">
      <alignment horizontal="center" wrapText="1"/>
    </xf>
    <xf numFmtId="167" fontId="54" fillId="0" borderId="162" xfId="11" applyNumberFormat="1" applyFont="1" applyFill="1" applyBorder="1" applyAlignment="1">
      <alignment horizontal="center" wrapText="1"/>
    </xf>
    <xf numFmtId="167" fontId="55" fillId="0" borderId="162" xfId="0" applyNumberFormat="1" applyFont="1" applyBorder="1" applyAlignment="1">
      <alignment horizontal="center" wrapText="1"/>
    </xf>
    <xf numFmtId="167" fontId="54" fillId="0" borderId="162" xfId="0" applyNumberFormat="1" applyFont="1" applyFill="1" applyBorder="1" applyAlignment="1">
      <alignment horizontal="center" wrapText="1"/>
    </xf>
    <xf numFmtId="167" fontId="54" fillId="0" borderId="43" xfId="0" applyNumberFormat="1" applyFont="1" applyFill="1" applyBorder="1" applyAlignment="1">
      <alignment horizontal="center" wrapText="1"/>
    </xf>
    <xf numFmtId="167" fontId="54" fillId="0" borderId="207" xfId="0" applyNumberFormat="1" applyFont="1" applyFill="1" applyBorder="1" applyAlignment="1">
      <alignment horizontal="center" vertical="center" wrapText="1"/>
    </xf>
    <xf numFmtId="167" fontId="55" fillId="0" borderId="43" xfId="0" applyNumberFormat="1" applyFont="1" applyFill="1" applyBorder="1" applyAlignment="1">
      <alignment horizontal="center" wrapText="1"/>
    </xf>
    <xf numFmtId="167" fontId="54" fillId="0" borderId="162" xfId="0" applyNumberFormat="1" applyFont="1" applyFill="1" applyBorder="1" applyAlignment="1">
      <alignment horizontal="center" vertical="center" wrapText="1" readingOrder="1"/>
    </xf>
    <xf numFmtId="167" fontId="5" fillId="3" borderId="43" xfId="0" applyNumberFormat="1" applyFont="1" applyFill="1" applyBorder="1" applyAlignment="1">
      <alignment horizontal="center" vertical="center" wrapText="1"/>
    </xf>
    <xf numFmtId="167" fontId="5" fillId="3" borderId="101" xfId="0" applyNumberFormat="1" applyFont="1" applyFill="1" applyBorder="1" applyAlignment="1">
      <alignment horizontal="center" vertical="center" wrapText="1"/>
    </xf>
    <xf numFmtId="167" fontId="7" fillId="0" borderId="101" xfId="0" applyNumberFormat="1" applyFont="1" applyFill="1" applyBorder="1" applyAlignment="1">
      <alignment horizontal="center" vertical="center" wrapText="1"/>
    </xf>
    <xf numFmtId="167" fontId="7" fillId="0" borderId="208" xfId="0" applyNumberFormat="1" applyFont="1" applyFill="1" applyBorder="1" applyAlignment="1">
      <alignment horizontal="center" vertical="center" wrapText="1"/>
    </xf>
    <xf numFmtId="167" fontId="7" fillId="0" borderId="12" xfId="1" applyNumberFormat="1" applyFont="1" applyBorder="1" applyAlignment="1">
      <alignment horizontal="center" vertical="center" wrapText="1"/>
    </xf>
    <xf numFmtId="0" fontId="54" fillId="3" borderId="12" xfId="13" applyFont="1" applyFill="1" applyBorder="1" applyAlignment="1">
      <alignment horizontal="center" vertical="center"/>
    </xf>
    <xf numFmtId="0" fontId="54" fillId="3" borderId="177" xfId="8" applyNumberFormat="1" applyFont="1" applyFill="1" applyBorder="1" applyAlignment="1">
      <alignment horizontal="center" vertical="center" wrapText="1"/>
    </xf>
    <xf numFmtId="0" fontId="54" fillId="3" borderId="44" xfId="12" applyNumberFormat="1" applyFont="1" applyFill="1" applyBorder="1" applyAlignment="1">
      <alignment horizontal="center" vertical="center" wrapText="1"/>
    </xf>
    <xf numFmtId="0" fontId="58" fillId="0" borderId="12" xfId="13" applyFont="1" applyBorder="1" applyAlignment="1">
      <alignment horizontal="center" vertical="center"/>
    </xf>
    <xf numFmtId="0" fontId="7" fillId="0" borderId="177" xfId="13" applyFont="1" applyBorder="1" applyAlignment="1">
      <alignment horizontal="center" vertical="center"/>
    </xf>
    <xf numFmtId="0" fontId="54" fillId="3" borderId="108" xfId="0" applyFont="1" applyFill="1" applyBorder="1" applyAlignment="1">
      <alignment horizontal="center" wrapText="1"/>
    </xf>
    <xf numFmtId="0" fontId="54" fillId="3" borderId="46" xfId="0" quotePrefix="1" applyFont="1" applyFill="1" applyBorder="1" applyAlignment="1">
      <alignment horizontal="center" wrapText="1"/>
    </xf>
    <xf numFmtId="0" fontId="54" fillId="3" borderId="46" xfId="0" quotePrefix="1" applyFont="1" applyFill="1" applyBorder="1" applyAlignment="1">
      <alignment wrapText="1"/>
    </xf>
    <xf numFmtId="0" fontId="54" fillId="3" borderId="46" xfId="0" applyFont="1" applyFill="1" applyBorder="1" applyAlignment="1">
      <alignment horizontal="center" wrapText="1"/>
    </xf>
    <xf numFmtId="0" fontId="54" fillId="0" borderId="12" xfId="0" applyFont="1" applyBorder="1" applyAlignment="1">
      <alignment vertical="center"/>
    </xf>
    <xf numFmtId="167" fontId="54" fillId="0" borderId="15" xfId="0" applyNumberFormat="1" applyFont="1" applyBorder="1" applyAlignment="1">
      <alignment vertical="center"/>
    </xf>
    <xf numFmtId="167" fontId="54" fillId="0" borderId="47" xfId="0" applyNumberFormat="1" applyFont="1" applyBorder="1" applyAlignment="1">
      <alignment vertical="center"/>
    </xf>
    <xf numFmtId="167" fontId="54" fillId="0" borderId="46" xfId="8" applyNumberFormat="1" applyFont="1" applyFill="1" applyBorder="1" applyAlignment="1">
      <alignment horizontal="center" vertical="center" wrapText="1"/>
    </xf>
    <xf numFmtId="0" fontId="5" fillId="0" borderId="158" xfId="0" applyFont="1" applyBorder="1" applyAlignment="1">
      <alignment horizontal="left" wrapText="1"/>
    </xf>
    <xf numFmtId="0" fontId="5" fillId="0" borderId="158" xfId="0" applyFont="1" applyBorder="1" applyAlignment="1">
      <alignment wrapText="1"/>
    </xf>
    <xf numFmtId="0" fontId="5" fillId="0" borderId="158" xfId="0" applyFont="1" applyBorder="1" applyAlignment="1">
      <alignment horizontal="center" wrapText="1"/>
    </xf>
    <xf numFmtId="0" fontId="5" fillId="0" borderId="11" xfId="0" applyFont="1" applyBorder="1" applyAlignment="1">
      <alignment horizontal="left" vertical="top" wrapText="1"/>
    </xf>
    <xf numFmtId="0" fontId="55" fillId="0" borderId="45" xfId="8" applyFont="1" applyBorder="1" applyAlignment="1">
      <alignment wrapText="1"/>
    </xf>
    <xf numFmtId="0" fontId="55" fillId="0" borderId="177" xfId="8" applyFont="1" applyBorder="1" applyAlignment="1">
      <alignment wrapText="1"/>
    </xf>
    <xf numFmtId="0" fontId="55" fillId="0" borderId="159" xfId="8" applyFont="1" applyBorder="1" applyAlignment="1">
      <alignment wrapText="1"/>
    </xf>
    <xf numFmtId="0" fontId="55" fillId="0" borderId="94" xfId="8" applyFont="1" applyBorder="1" applyAlignment="1">
      <alignment horizontal="center" wrapText="1"/>
    </xf>
    <xf numFmtId="0" fontId="7" fillId="0" borderId="160" xfId="0" applyFont="1" applyBorder="1" applyAlignment="1">
      <alignment horizontal="center" wrapText="1"/>
    </xf>
    <xf numFmtId="0" fontId="7" fillId="0" borderId="102" xfId="0" quotePrefix="1" applyFont="1" applyBorder="1" applyAlignment="1">
      <alignment wrapText="1"/>
    </xf>
    <xf numFmtId="0" fontId="24" fillId="0" borderId="102" xfId="0" applyFont="1" applyBorder="1" applyAlignment="1">
      <alignment horizontal="center" wrapText="1"/>
    </xf>
    <xf numFmtId="0" fontId="24" fillId="0" borderId="102" xfId="0" quotePrefix="1" applyFont="1" applyBorder="1" applyAlignment="1">
      <alignment horizontal="center" wrapText="1"/>
    </xf>
    <xf numFmtId="0" fontId="5" fillId="0" borderId="102" xfId="0" applyFont="1" applyBorder="1"/>
    <xf numFmtId="0" fontId="5" fillId="0" borderId="102" xfId="0" applyFont="1" applyBorder="1" applyAlignment="1">
      <alignment wrapText="1"/>
    </xf>
    <xf numFmtId="0" fontId="5" fillId="0" borderId="102" xfId="0" applyFont="1" applyBorder="1" applyAlignment="1">
      <alignment horizontal="center" wrapText="1"/>
    </xf>
    <xf numFmtId="0" fontId="5" fillId="0" borderId="102" xfId="0" applyFont="1" applyBorder="1" applyAlignment="1">
      <alignment readingOrder="1"/>
    </xf>
    <xf numFmtId="167" fontId="7" fillId="0" borderId="102" xfId="11" applyNumberFormat="1" applyFont="1" applyBorder="1" applyAlignment="1">
      <alignment wrapText="1"/>
    </xf>
    <xf numFmtId="0" fontId="49" fillId="0" borderId="102" xfId="0" applyFont="1" applyBorder="1" applyAlignment="1">
      <alignment wrapText="1" readingOrder="1"/>
    </xf>
    <xf numFmtId="43" fontId="57" fillId="0" borderId="102" xfId="0" applyNumberFormat="1" applyFont="1" applyBorder="1" applyAlignment="1">
      <alignment horizontal="center" wrapText="1"/>
    </xf>
    <xf numFmtId="167" fontId="54" fillId="0" borderId="11" xfId="8" applyNumberFormat="1" applyFont="1" applyFill="1" applyBorder="1" applyAlignment="1">
      <alignment wrapText="1"/>
    </xf>
    <xf numFmtId="0" fontId="7" fillId="0" borderId="102" xfId="0" applyFont="1" applyFill="1" applyBorder="1" applyAlignment="1">
      <alignment horizontal="left" wrapText="1"/>
    </xf>
    <xf numFmtId="0" fontId="7" fillId="0" borderId="102" xfId="0" applyNumberFormat="1" applyFont="1" applyFill="1" applyBorder="1" applyAlignment="1">
      <alignment horizontal="center" vertical="center" wrapText="1"/>
    </xf>
    <xf numFmtId="167" fontId="7" fillId="0" borderId="102" xfId="11" applyNumberFormat="1" applyFont="1" applyFill="1" applyBorder="1" applyAlignment="1">
      <alignment horizontal="center" wrapText="1"/>
    </xf>
    <xf numFmtId="0" fontId="54" fillId="0" borderId="177" xfId="8" applyFont="1" applyBorder="1" applyAlignment="1">
      <alignment horizontal="center" wrapText="1"/>
    </xf>
    <xf numFmtId="0" fontId="54" fillId="0" borderId="177" xfId="8" quotePrefix="1" applyFont="1" applyBorder="1" applyAlignment="1">
      <alignment horizontal="center" wrapText="1"/>
    </xf>
    <xf numFmtId="0" fontId="7" fillId="3" borderId="102" xfId="0" quotePrefix="1" applyFont="1" applyFill="1" applyBorder="1" applyAlignment="1">
      <alignment horizontal="left" wrapText="1"/>
    </xf>
    <xf numFmtId="43" fontId="7" fillId="3" borderId="102" xfId="0" applyNumberFormat="1" applyFont="1" applyFill="1" applyBorder="1" applyAlignment="1">
      <alignment horizontal="center" wrapText="1"/>
    </xf>
    <xf numFmtId="167" fontId="7" fillId="3" borderId="102" xfId="11" applyNumberFormat="1" applyFont="1" applyFill="1" applyBorder="1" applyAlignment="1">
      <alignment horizontal="center" wrapText="1"/>
    </xf>
    <xf numFmtId="0" fontId="7" fillId="3" borderId="102" xfId="0" quotePrefix="1" applyFont="1" applyFill="1" applyBorder="1" applyAlignment="1">
      <alignment readingOrder="1"/>
    </xf>
    <xf numFmtId="0" fontId="7" fillId="3" borderId="160" xfId="0" applyFont="1" applyFill="1" applyBorder="1" applyAlignment="1">
      <alignment horizontal="center" wrapText="1"/>
    </xf>
    <xf numFmtId="0" fontId="7" fillId="3" borderId="102" xfId="0" quotePrefix="1" applyFont="1" applyFill="1" applyBorder="1" applyAlignment="1">
      <alignment horizontal="center" wrapText="1"/>
    </xf>
    <xf numFmtId="0" fontId="7" fillId="3" borderId="102" xfId="0" quotePrefix="1" applyFont="1" applyFill="1" applyBorder="1" applyAlignment="1">
      <alignment wrapText="1"/>
    </xf>
    <xf numFmtId="0" fontId="7" fillId="3" borderId="102" xfId="0" applyFont="1" applyFill="1" applyBorder="1" applyAlignment="1">
      <alignment horizontal="center" wrapText="1"/>
    </xf>
    <xf numFmtId="0" fontId="24" fillId="3" borderId="102" xfId="0" applyFont="1" applyFill="1" applyBorder="1" applyAlignment="1">
      <alignment horizontal="center" wrapText="1"/>
    </xf>
    <xf numFmtId="0" fontId="7" fillId="3" borderId="102" xfId="0" applyFont="1" applyFill="1" applyBorder="1" applyAlignment="1">
      <alignment horizontal="left" wrapText="1"/>
    </xf>
    <xf numFmtId="0" fontId="7" fillId="0" borderId="102" xfId="0" applyFont="1" applyBorder="1" applyAlignment="1">
      <alignment readingOrder="1"/>
    </xf>
    <xf numFmtId="167" fontId="7" fillId="0" borderId="102" xfId="11" applyNumberFormat="1" applyFont="1" applyBorder="1" applyAlignment="1">
      <alignment horizontal="center" wrapText="1"/>
    </xf>
    <xf numFmtId="0" fontId="7" fillId="0" borderId="102" xfId="0" quotePrefix="1" applyFont="1" applyFill="1" applyBorder="1" applyAlignment="1">
      <alignment horizontal="left" wrapText="1"/>
    </xf>
    <xf numFmtId="167" fontId="7" fillId="0" borderId="102" xfId="0" applyNumberFormat="1" applyFont="1" applyFill="1" applyBorder="1" applyAlignment="1">
      <alignment horizontal="center" wrapText="1"/>
    </xf>
    <xf numFmtId="0" fontId="49" fillId="0" borderId="102" xfId="0" applyFont="1" applyFill="1" applyBorder="1" applyAlignment="1">
      <alignment readingOrder="1"/>
    </xf>
    <xf numFmtId="0" fontId="49" fillId="0" borderId="102" xfId="0" applyFont="1" applyFill="1" applyBorder="1" applyAlignment="1">
      <alignment wrapText="1" readingOrder="1"/>
    </xf>
    <xf numFmtId="43" fontId="57" fillId="0" borderId="102" xfId="0" applyNumberFormat="1" applyFont="1" applyFill="1" applyBorder="1" applyAlignment="1">
      <alignment horizontal="center" wrapText="1"/>
    </xf>
    <xf numFmtId="0" fontId="7" fillId="3" borderId="102" xfId="0" quotePrefix="1" applyFont="1" applyFill="1" applyBorder="1" applyAlignment="1">
      <alignment wrapText="1" readingOrder="1"/>
    </xf>
    <xf numFmtId="167" fontId="7" fillId="3" borderId="102" xfId="0" applyNumberFormat="1" applyFont="1" applyFill="1" applyBorder="1" applyAlignment="1">
      <alignment horizontal="center" wrapText="1"/>
    </xf>
    <xf numFmtId="0" fontId="24" fillId="0" borderId="102" xfId="0" applyFont="1" applyFill="1" applyBorder="1" applyAlignment="1">
      <alignment horizontal="left" wrapText="1"/>
    </xf>
    <xf numFmtId="0" fontId="58" fillId="0" borderId="102" xfId="0" applyFont="1" applyFill="1" applyBorder="1" applyAlignment="1">
      <alignment wrapText="1" readingOrder="1"/>
    </xf>
    <xf numFmtId="0" fontId="7" fillId="3" borderId="12" xfId="0" quotePrefix="1" applyFont="1" applyFill="1" applyBorder="1" applyAlignment="1">
      <alignment horizontal="left" wrapText="1"/>
    </xf>
    <xf numFmtId="43" fontId="7" fillId="0" borderId="163" xfId="0" applyNumberFormat="1" applyFont="1" applyFill="1" applyBorder="1" applyAlignment="1">
      <alignment horizontal="center" wrapText="1"/>
    </xf>
    <xf numFmtId="167" fontId="7" fillId="0" borderId="177" xfId="0" applyNumberFormat="1" applyFont="1" applyFill="1" applyBorder="1" applyAlignment="1">
      <alignment horizontal="center" wrapText="1"/>
    </xf>
    <xf numFmtId="167" fontId="7" fillId="0" borderId="12" xfId="11" applyNumberFormat="1" applyFont="1" applyBorder="1" applyAlignment="1">
      <alignment horizontal="center" wrapText="1"/>
    </xf>
    <xf numFmtId="0" fontId="58" fillId="0" borderId="102" xfId="0" applyFont="1" applyFill="1" applyBorder="1" applyAlignment="1">
      <alignment vertical="center" wrapText="1" readingOrder="1"/>
    </xf>
    <xf numFmtId="0" fontId="24" fillId="0" borderId="177" xfId="0" applyFont="1" applyFill="1" applyBorder="1" applyAlignment="1">
      <alignment horizontal="left" wrapText="1"/>
    </xf>
    <xf numFmtId="43" fontId="7" fillId="0" borderId="177" xfId="0" applyNumberFormat="1" applyFont="1" applyBorder="1" applyAlignment="1">
      <alignment horizontal="center" wrapText="1"/>
    </xf>
    <xf numFmtId="167" fontId="7" fillId="0" borderId="46" xfId="0" applyNumberFormat="1" applyFont="1" applyBorder="1" applyAlignment="1">
      <alignment horizontal="center" wrapText="1"/>
    </xf>
    <xf numFmtId="0" fontId="49" fillId="0" borderId="44" xfId="0" applyFont="1" applyFill="1" applyBorder="1" applyAlignment="1">
      <alignment wrapText="1" readingOrder="1"/>
    </xf>
    <xf numFmtId="43" fontId="7" fillId="0" borderId="177" xfId="0" applyNumberFormat="1" applyFont="1" applyFill="1" applyBorder="1" applyAlignment="1">
      <alignment horizontal="center" wrapText="1"/>
    </xf>
    <xf numFmtId="167" fontId="7" fillId="0" borderId="46" xfId="0" applyNumberFormat="1" applyFont="1" applyFill="1" applyBorder="1" applyAlignment="1">
      <alignment horizontal="center" wrapText="1"/>
    </xf>
    <xf numFmtId="0" fontId="58" fillId="0" borderId="102" xfId="0" quotePrefix="1" applyFont="1" applyBorder="1" applyAlignment="1">
      <alignment readingOrder="1"/>
    </xf>
    <xf numFmtId="0" fontId="58" fillId="0" borderId="102" xfId="0" quotePrefix="1" applyFont="1" applyFill="1" applyBorder="1" applyAlignment="1">
      <alignment readingOrder="1"/>
    </xf>
    <xf numFmtId="0" fontId="55" fillId="0" borderId="142" xfId="13" applyFont="1" applyBorder="1" applyAlignment="1">
      <alignment vertical="center" wrapText="1"/>
    </xf>
    <xf numFmtId="0" fontId="55" fillId="0" borderId="208" xfId="8" applyFont="1" applyBorder="1" applyAlignment="1">
      <alignment vertical="center" wrapText="1"/>
    </xf>
    <xf numFmtId="0" fontId="55" fillId="0" borderId="209" xfId="8" applyFont="1" applyBorder="1" applyAlignment="1">
      <alignment vertical="center" wrapText="1"/>
    </xf>
    <xf numFmtId="0" fontId="55" fillId="0" borderId="164" xfId="13" applyFont="1" applyBorder="1" applyAlignment="1">
      <alignment vertical="center" wrapText="1"/>
    </xf>
    <xf numFmtId="167" fontId="54" fillId="0" borderId="164" xfId="11" applyNumberFormat="1" applyFont="1" applyBorder="1" applyAlignment="1">
      <alignment vertical="center" wrapText="1"/>
    </xf>
    <xf numFmtId="167" fontId="54" fillId="0" borderId="43" xfId="8" applyNumberFormat="1" applyFont="1" applyFill="1" applyBorder="1" applyAlignment="1">
      <alignment vertical="center" wrapText="1"/>
    </xf>
    <xf numFmtId="0" fontId="54" fillId="0" borderId="43" xfId="8" applyNumberFormat="1" applyFont="1" applyFill="1" applyBorder="1" applyAlignment="1">
      <alignment horizontal="center" vertical="center" wrapText="1"/>
    </xf>
    <xf numFmtId="0" fontId="54" fillId="0" borderId="164" xfId="11" applyNumberFormat="1" applyFont="1" applyBorder="1" applyAlignment="1">
      <alignment horizontal="center" vertical="center" wrapText="1"/>
    </xf>
    <xf numFmtId="0" fontId="54" fillId="0" borderId="164" xfId="13" applyNumberFormat="1" applyFont="1" applyFill="1" applyBorder="1" applyAlignment="1">
      <alignment horizontal="center" vertical="center" wrapText="1"/>
    </xf>
    <xf numFmtId="0" fontId="54" fillId="3" borderId="164" xfId="11" applyNumberFormat="1" applyFont="1" applyFill="1" applyBorder="1" applyAlignment="1">
      <alignment horizontal="center" vertical="center" wrapText="1"/>
    </xf>
    <xf numFmtId="0" fontId="54" fillId="3" borderId="164" xfId="13" applyNumberFormat="1" applyFont="1" applyFill="1" applyBorder="1" applyAlignment="1">
      <alignment horizontal="center" vertical="center" wrapText="1"/>
    </xf>
    <xf numFmtId="0" fontId="54" fillId="0" borderId="164" xfId="11" applyNumberFormat="1" applyFont="1" applyFill="1" applyBorder="1" applyAlignment="1">
      <alignment horizontal="center" vertical="center" wrapText="1"/>
    </xf>
    <xf numFmtId="0" fontId="54" fillId="3" borderId="164" xfId="12" applyNumberFormat="1" applyFont="1" applyFill="1" applyBorder="1" applyAlignment="1">
      <alignment horizontal="center" vertical="center" wrapText="1"/>
    </xf>
    <xf numFmtId="0" fontId="54" fillId="0" borderId="164" xfId="12" applyNumberFormat="1" applyFont="1" applyBorder="1" applyAlignment="1">
      <alignment horizontal="center" vertical="center" wrapText="1"/>
    </xf>
    <xf numFmtId="0" fontId="54" fillId="0" borderId="43" xfId="11" applyNumberFormat="1" applyFont="1" applyFill="1" applyBorder="1" applyAlignment="1">
      <alignment horizontal="center" vertical="center" wrapText="1"/>
    </xf>
    <xf numFmtId="0" fontId="54" fillId="0" borderId="0" xfId="11" applyNumberFormat="1" applyFont="1" applyFill="1" applyBorder="1" applyAlignment="1">
      <alignment horizontal="center" vertical="center" wrapText="1"/>
    </xf>
    <xf numFmtId="0" fontId="54" fillId="0" borderId="0" xfId="12" applyNumberFormat="1" applyFont="1" applyBorder="1" applyAlignment="1">
      <alignment horizontal="center" vertical="center" wrapText="1"/>
    </xf>
    <xf numFmtId="0" fontId="54" fillId="0" borderId="210" xfId="11" applyNumberFormat="1" applyFont="1" applyFill="1" applyBorder="1" applyAlignment="1">
      <alignment horizontal="center" vertical="center" wrapText="1"/>
    </xf>
    <xf numFmtId="167" fontId="5" fillId="0" borderId="156" xfId="0" applyNumberFormat="1" applyFont="1" applyBorder="1" applyAlignment="1">
      <alignment horizontal="center" wrapText="1"/>
    </xf>
    <xf numFmtId="167" fontId="5" fillId="0" borderId="102" xfId="0" applyNumberFormat="1" applyFont="1" applyBorder="1" applyAlignment="1">
      <alignment horizontal="center" wrapText="1"/>
    </xf>
    <xf numFmtId="167" fontId="5" fillId="0" borderId="102" xfId="0" applyNumberFormat="1" applyFont="1" applyFill="1" applyBorder="1" applyAlignment="1">
      <alignment horizontal="center" wrapText="1"/>
    </xf>
    <xf numFmtId="167" fontId="7" fillId="0" borderId="162" xfId="0" applyNumberFormat="1" applyFont="1" applyFill="1" applyBorder="1" applyAlignment="1">
      <alignment horizontal="center" wrapText="1"/>
    </xf>
    <xf numFmtId="0" fontId="7" fillId="0" borderId="10" xfId="8" applyFont="1" applyBorder="1" applyAlignment="1">
      <alignment horizontal="center" wrapText="1"/>
    </xf>
    <xf numFmtId="0" fontId="7" fillId="0" borderId="156" xfId="0" applyFont="1" applyBorder="1" applyAlignment="1">
      <alignment horizontal="center" wrapText="1"/>
    </xf>
    <xf numFmtId="0" fontId="5" fillId="0" borderId="50" xfId="0" applyFont="1" applyBorder="1" applyAlignment="1">
      <alignment horizontal="left" wrapText="1"/>
    </xf>
    <xf numFmtId="0" fontId="5" fillId="0" borderId="52" xfId="0" applyFont="1" applyBorder="1" applyAlignment="1">
      <alignment wrapText="1"/>
    </xf>
    <xf numFmtId="0" fontId="5" fillId="0" borderId="52" xfId="0" applyFont="1" applyBorder="1" applyAlignment="1">
      <alignment horizontal="center" wrapText="1"/>
    </xf>
    <xf numFmtId="0" fontId="5" fillId="0" borderId="211" xfId="0" applyFont="1" applyBorder="1" applyAlignment="1">
      <alignment wrapText="1"/>
    </xf>
    <xf numFmtId="0" fontId="5" fillId="0" borderId="211" xfId="0" applyFont="1" applyBorder="1" applyAlignment="1">
      <alignment horizont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57" xfId="0" applyFont="1" applyBorder="1" applyAlignment="1">
      <alignment horizontal="center" vertical="center" wrapText="1"/>
    </xf>
    <xf numFmtId="0" fontId="7" fillId="0" borderId="12" xfId="8" quotePrefix="1" applyFont="1" applyBorder="1" applyAlignment="1">
      <alignment horizontal="center" vertical="center" wrapText="1"/>
    </xf>
    <xf numFmtId="0" fontId="7" fillId="0" borderId="10" xfId="8" quotePrefix="1" applyFont="1" applyBorder="1" applyAlignment="1">
      <alignment horizontal="center" vertical="center" wrapText="1"/>
    </xf>
    <xf numFmtId="0" fontId="7" fillId="3" borderId="12" xfId="8" applyFont="1" applyFill="1" applyBorder="1" applyAlignment="1">
      <alignment horizontal="center" wrapText="1"/>
    </xf>
    <xf numFmtId="0" fontId="7" fillId="3" borderId="10" xfId="8" applyFont="1" applyFill="1" applyBorder="1" applyAlignment="1">
      <alignment horizontal="center" wrapText="1"/>
    </xf>
    <xf numFmtId="0" fontId="5" fillId="3" borderId="12" xfId="8" applyFont="1" applyFill="1" applyBorder="1" applyAlignment="1">
      <alignment readingOrder="1"/>
    </xf>
    <xf numFmtId="167" fontId="7" fillId="3" borderId="11" xfId="11" applyNumberFormat="1" applyFont="1" applyFill="1" applyBorder="1" applyAlignment="1">
      <alignment wrapText="1"/>
    </xf>
    <xf numFmtId="43" fontId="7" fillId="3" borderId="10" xfId="8" applyNumberFormat="1" applyFont="1" applyFill="1" applyBorder="1" applyAlignment="1">
      <alignment horizontal="center" wrapText="1"/>
    </xf>
    <xf numFmtId="167" fontId="5" fillId="3" borderId="43" xfId="8" applyNumberFormat="1" applyFont="1" applyFill="1" applyBorder="1" applyAlignment="1">
      <alignment horizontal="center" wrapText="1"/>
    </xf>
    <xf numFmtId="0" fontId="7" fillId="3" borderId="10" xfId="8" quotePrefix="1" applyFont="1" applyFill="1" applyBorder="1" applyAlignment="1">
      <alignment horizontal="center" wrapText="1"/>
    </xf>
    <xf numFmtId="0" fontId="5" fillId="3" borderId="50" xfId="8" applyFont="1" applyFill="1" applyBorder="1" applyAlignment="1">
      <alignment wrapText="1" readingOrder="1"/>
    </xf>
    <xf numFmtId="43" fontId="57" fillId="3" borderId="12" xfId="8" applyNumberFormat="1" applyFont="1" applyFill="1" applyBorder="1" applyAlignment="1">
      <alignment horizontal="center" wrapText="1"/>
    </xf>
    <xf numFmtId="43" fontId="57" fillId="3" borderId="10" xfId="8" applyNumberFormat="1" applyFont="1" applyFill="1" applyBorder="1" applyAlignment="1">
      <alignment horizontal="center" wrapText="1"/>
    </xf>
    <xf numFmtId="0" fontId="7" fillId="3" borderId="12" xfId="8" applyFont="1" applyFill="1" applyBorder="1" applyAlignment="1">
      <alignment horizontal="left" wrapText="1"/>
    </xf>
    <xf numFmtId="167" fontId="7" fillId="3" borderId="11" xfId="8" applyNumberFormat="1" applyFont="1" applyFill="1" applyBorder="1" applyAlignment="1">
      <alignment wrapText="1"/>
    </xf>
    <xf numFmtId="0" fontId="7" fillId="3" borderId="61" xfId="8" applyFont="1" applyFill="1" applyBorder="1" applyAlignment="1">
      <alignment horizontal="center" wrapText="1"/>
    </xf>
    <xf numFmtId="0" fontId="7" fillId="3" borderId="10" xfId="8" quotePrefix="1" applyFont="1" applyFill="1" applyBorder="1" applyAlignment="1">
      <alignment wrapText="1"/>
    </xf>
    <xf numFmtId="0" fontId="7" fillId="3" borderId="46" xfId="8" applyFont="1" applyFill="1" applyBorder="1" applyAlignment="1">
      <alignment horizontal="center" wrapText="1"/>
    </xf>
    <xf numFmtId="0" fontId="7" fillId="3" borderId="46" xfId="8" quotePrefix="1" applyFont="1" applyFill="1" applyBorder="1" applyAlignment="1">
      <alignment horizontal="center" wrapText="1"/>
    </xf>
    <xf numFmtId="0" fontId="7" fillId="3" borderId="12" xfId="8" quotePrefix="1" applyFont="1" applyFill="1" applyBorder="1" applyAlignment="1">
      <alignment horizontal="left" wrapText="1"/>
    </xf>
    <xf numFmtId="167" fontId="7" fillId="3" borderId="11" xfId="8" applyNumberFormat="1" applyFont="1" applyFill="1" applyBorder="1" applyAlignment="1">
      <alignment horizontal="right" wrapText="1"/>
    </xf>
    <xf numFmtId="0" fontId="5" fillId="3" borderId="52" xfId="0" applyFont="1" applyFill="1" applyBorder="1" applyAlignment="1">
      <alignment wrapText="1"/>
    </xf>
    <xf numFmtId="167" fontId="7" fillId="3" borderId="11" xfId="0" applyNumberFormat="1" applyFont="1" applyFill="1" applyBorder="1" applyAlignment="1">
      <alignment wrapText="1"/>
    </xf>
    <xf numFmtId="0" fontId="7" fillId="3" borderId="10" xfId="0" quotePrefix="1" applyFont="1" applyFill="1" applyBorder="1" applyAlignment="1">
      <alignment wrapText="1"/>
    </xf>
    <xf numFmtId="167" fontId="7" fillId="3" borderId="12" xfId="0" applyNumberFormat="1" applyFont="1" applyFill="1" applyBorder="1" applyAlignment="1">
      <alignment wrapText="1"/>
    </xf>
    <xf numFmtId="167" fontId="7" fillId="3" borderId="12" xfId="11" applyNumberFormat="1" applyFont="1" applyFill="1" applyBorder="1" applyAlignment="1">
      <alignment wrapText="1"/>
    </xf>
    <xf numFmtId="0" fontId="7" fillId="3" borderId="50" xfId="0" applyFont="1" applyFill="1" applyBorder="1" applyAlignment="1">
      <alignment wrapText="1" readingOrder="1"/>
    </xf>
    <xf numFmtId="167" fontId="7" fillId="3" borderId="12" xfId="7" applyNumberFormat="1" applyFont="1" applyFill="1" applyBorder="1" applyAlignment="1" applyProtection="1">
      <alignment horizontal="center" wrapText="1"/>
    </xf>
    <xf numFmtId="43" fontId="7" fillId="3" borderId="12" xfId="11" quotePrefix="1" applyFont="1" applyFill="1" applyBorder="1" applyAlignment="1">
      <alignment horizontal="left" wrapText="1"/>
    </xf>
    <xf numFmtId="49" fontId="7" fillId="3" borderId="12" xfId="8" applyNumberFormat="1" applyFont="1" applyFill="1" applyBorder="1" applyAlignment="1">
      <alignment horizontal="left" vertical="center" wrapText="1"/>
    </xf>
    <xf numFmtId="43" fontId="7" fillId="3" borderId="12" xfId="8" applyNumberFormat="1" applyFont="1" applyFill="1" applyBorder="1" applyAlignment="1">
      <alignment horizontal="center" vertical="center" wrapText="1"/>
    </xf>
    <xf numFmtId="167" fontId="7" fillId="3" borderId="43" xfId="8" applyNumberFormat="1" applyFont="1" applyFill="1" applyBorder="1" applyAlignment="1">
      <alignment horizontal="center" vertical="center" wrapText="1"/>
    </xf>
    <xf numFmtId="0" fontId="7" fillId="0" borderId="10" xfId="0" quotePrefix="1" applyFont="1" applyFill="1" applyBorder="1" applyAlignment="1">
      <alignment horizontal="center" wrapText="1"/>
    </xf>
    <xf numFmtId="0" fontId="5" fillId="0" borderId="50" xfId="0" applyFont="1" applyFill="1" applyBorder="1" applyAlignment="1">
      <alignment wrapText="1" readingOrder="1"/>
    </xf>
    <xf numFmtId="0" fontId="7" fillId="0" borderId="10" xfId="0" quotePrefix="1" applyFont="1" applyFill="1" applyBorder="1" applyAlignment="1">
      <alignment wrapText="1"/>
    </xf>
    <xf numFmtId="0" fontId="7" fillId="0" borderId="46" xfId="0" applyFont="1" applyFill="1" applyBorder="1" applyAlignment="1">
      <alignment horizontal="center" wrapText="1"/>
    </xf>
    <xf numFmtId="0" fontId="7" fillId="0" borderId="46" xfId="0" quotePrefix="1" applyFont="1" applyFill="1" applyBorder="1" applyAlignment="1">
      <alignment horizontal="center" wrapText="1"/>
    </xf>
    <xf numFmtId="167" fontId="7" fillId="0" borderId="12" xfId="0" applyNumberFormat="1" applyFont="1" applyFill="1" applyBorder="1" applyAlignment="1">
      <alignment horizontal="right" wrapText="1"/>
    </xf>
    <xf numFmtId="0" fontId="5" fillId="0" borderId="12" xfId="0" applyFont="1" applyFill="1" applyBorder="1" applyAlignment="1">
      <alignment readingOrder="1"/>
    </xf>
    <xf numFmtId="167" fontId="7" fillId="0" borderId="12" xfId="11" applyNumberFormat="1" applyFont="1" applyFill="1" applyBorder="1" applyAlignment="1">
      <alignment horizontal="center" wrapText="1"/>
    </xf>
    <xf numFmtId="167" fontId="5" fillId="0" borderId="12" xfId="0" applyNumberFormat="1" applyFont="1" applyFill="1" applyBorder="1" applyAlignment="1">
      <alignment horizontal="center" wrapText="1"/>
    </xf>
    <xf numFmtId="167" fontId="7" fillId="0" borderId="11" xfId="11" applyNumberFormat="1" applyFont="1" applyFill="1" applyBorder="1" applyAlignment="1">
      <alignment horizontal="center" wrapText="1"/>
    </xf>
    <xf numFmtId="0" fontId="7" fillId="0" borderId="102" xfId="0" applyFont="1" applyFill="1" applyBorder="1" applyAlignment="1">
      <alignment wrapText="1" readingOrder="1"/>
    </xf>
    <xf numFmtId="41" fontId="7" fillId="0" borderId="11" xfId="12" applyFont="1" applyFill="1" applyBorder="1" applyAlignment="1">
      <alignment horizontal="center" wrapText="1"/>
    </xf>
    <xf numFmtId="0" fontId="7" fillId="0" borderId="166" xfId="0" applyFont="1" applyFill="1" applyBorder="1" applyAlignment="1">
      <alignment wrapText="1" readingOrder="1"/>
    </xf>
    <xf numFmtId="0" fontId="7" fillId="0" borderId="12" xfId="0" applyFont="1" applyFill="1" applyBorder="1" applyAlignment="1">
      <alignment wrapText="1" readingOrder="1"/>
    </xf>
    <xf numFmtId="0" fontId="7" fillId="0" borderId="12" xfId="0" quotePrefix="1" applyFont="1" applyFill="1" applyBorder="1" applyAlignment="1">
      <alignment wrapText="1" readingOrder="1"/>
    </xf>
    <xf numFmtId="41" fontId="7" fillId="0" borderId="11" xfId="12" applyFont="1" applyBorder="1" applyAlignment="1">
      <alignment horizontal="center" wrapText="1"/>
    </xf>
    <xf numFmtId="0" fontId="7" fillId="0" borderId="12" xfId="8" quotePrefix="1" applyFont="1" applyBorder="1" applyAlignment="1">
      <alignment horizontal="center" wrapText="1"/>
    </xf>
    <xf numFmtId="0" fontId="16" fillId="0" borderId="102" xfId="0" applyFont="1" applyFill="1" applyBorder="1" applyAlignment="1">
      <alignment wrapText="1" readingOrder="1"/>
    </xf>
    <xf numFmtId="0" fontId="7" fillId="0" borderId="177" xfId="8" applyFont="1" applyBorder="1" applyAlignment="1">
      <alignment horizontal="center" wrapText="1"/>
    </xf>
    <xf numFmtId="0" fontId="7" fillId="0" borderId="177" xfId="8" quotePrefix="1" applyFont="1" applyBorder="1" applyAlignment="1">
      <alignment horizontal="center" wrapText="1"/>
    </xf>
    <xf numFmtId="167" fontId="7" fillId="0" borderId="163" xfId="11" applyNumberFormat="1" applyFont="1" applyFill="1" applyBorder="1" applyAlignment="1">
      <alignment horizontal="center" wrapText="1"/>
    </xf>
    <xf numFmtId="0" fontId="16" fillId="0" borderId="177" xfId="0" applyFont="1" applyFill="1" applyBorder="1" applyAlignment="1">
      <alignment wrapText="1" readingOrder="1"/>
    </xf>
    <xf numFmtId="0" fontId="5" fillId="0" borderId="177" xfId="0" applyFont="1" applyFill="1" applyBorder="1" applyAlignment="1">
      <alignment wrapText="1" readingOrder="1"/>
    </xf>
    <xf numFmtId="0" fontId="7" fillId="0" borderId="177" xfId="0" applyFont="1" applyFill="1" applyBorder="1" applyAlignment="1">
      <alignment horizontal="left" vertical="top" wrapText="1"/>
    </xf>
    <xf numFmtId="167" fontId="7" fillId="0" borderId="11" xfId="0" applyNumberFormat="1" applyFont="1" applyFill="1" applyBorder="1" applyAlignment="1">
      <alignment horizontal="right" wrapText="1"/>
    </xf>
    <xf numFmtId="0" fontId="7" fillId="0" borderId="10" xfId="0" applyFont="1" applyBorder="1" applyAlignment="1">
      <alignment wrapText="1"/>
    </xf>
    <xf numFmtId="167" fontId="5" fillId="0" borderId="12" xfId="0" applyNumberFormat="1" applyFont="1" applyBorder="1"/>
    <xf numFmtId="0" fontId="7" fillId="0" borderId="12" xfId="0" applyFont="1" applyFill="1" applyBorder="1" applyAlignment="1">
      <alignment horizontal="left" vertical="top" wrapText="1" readingOrder="1"/>
    </xf>
    <xf numFmtId="0" fontId="24" fillId="0" borderId="10" xfId="0" applyFont="1" applyBorder="1" applyAlignment="1">
      <alignment horizontal="center" wrapText="1"/>
    </xf>
    <xf numFmtId="0" fontId="24" fillId="0" borderId="10" xfId="0" quotePrefix="1" applyFont="1" applyBorder="1" applyAlignment="1">
      <alignment horizontal="center" wrapText="1"/>
    </xf>
    <xf numFmtId="0" fontId="55" fillId="3" borderId="12" xfId="8" applyFont="1" applyFill="1" applyBorder="1" applyAlignment="1">
      <alignment readingOrder="1"/>
    </xf>
    <xf numFmtId="0" fontId="55" fillId="3" borderId="50" xfId="8" applyFont="1" applyFill="1" applyBorder="1" applyAlignment="1">
      <alignment wrapText="1" readingOrder="1"/>
    </xf>
    <xf numFmtId="43" fontId="56" fillId="3" borderId="12" xfId="8" applyNumberFormat="1" applyFont="1" applyFill="1" applyBorder="1" applyAlignment="1">
      <alignment horizontal="center" wrapText="1"/>
    </xf>
    <xf numFmtId="43" fontId="56" fillId="3" borderId="10" xfId="8" applyNumberFormat="1" applyFont="1" applyFill="1" applyBorder="1" applyAlignment="1">
      <alignment horizontal="center" wrapText="1"/>
    </xf>
    <xf numFmtId="0" fontId="54" fillId="3" borderId="46" xfId="8" applyFont="1" applyFill="1" applyBorder="1" applyAlignment="1">
      <alignment horizontal="center" wrapText="1"/>
    </xf>
    <xf numFmtId="0" fontId="54" fillId="3" borderId="46" xfId="8" quotePrefix="1" applyFont="1" applyFill="1" applyBorder="1" applyAlignment="1">
      <alignment horizontal="center" wrapText="1"/>
    </xf>
    <xf numFmtId="0" fontId="5" fillId="0" borderId="50" xfId="0" applyFont="1" applyBorder="1" applyAlignment="1">
      <alignment readingOrder="1"/>
    </xf>
    <xf numFmtId="0" fontId="7" fillId="0" borderId="12" xfId="0" quotePrefix="1" applyFont="1" applyFill="1" applyBorder="1" applyAlignment="1">
      <alignment wrapText="1"/>
    </xf>
    <xf numFmtId="0" fontId="49" fillId="0" borderId="12" xfId="0" applyFont="1" applyFill="1" applyBorder="1" applyAlignment="1">
      <alignment readingOrder="1"/>
    </xf>
    <xf numFmtId="0" fontId="58" fillId="3" borderId="12" xfId="0" quotePrefix="1" applyFont="1" applyFill="1" applyBorder="1" applyAlignment="1">
      <alignment readingOrder="1"/>
    </xf>
    <xf numFmtId="167" fontId="5" fillId="0" borderId="9" xfId="0" applyNumberFormat="1" applyFont="1" applyBorder="1" applyAlignment="1">
      <alignment horizontal="center" wrapText="1"/>
    </xf>
    <xf numFmtId="0" fontId="7" fillId="0" borderId="3" xfId="0" applyFont="1" applyBorder="1" applyAlignment="1">
      <alignment wrapText="1"/>
    </xf>
    <xf numFmtId="0" fontId="54" fillId="0" borderId="196" xfId="8" applyFont="1" applyBorder="1" applyAlignment="1">
      <alignment horizontal="center" wrapText="1"/>
    </xf>
    <xf numFmtId="0" fontId="54" fillId="0" borderId="156" xfId="8" quotePrefix="1" applyFont="1" applyBorder="1" applyAlignment="1">
      <alignment horizontal="center" wrapText="1"/>
    </xf>
    <xf numFmtId="0" fontId="54" fillId="0" borderId="156" xfId="8" applyFont="1" applyBorder="1" applyAlignment="1">
      <alignment wrapText="1"/>
    </xf>
    <xf numFmtId="0" fontId="54" fillId="0" borderId="156" xfId="8" applyFont="1" applyBorder="1" applyAlignment="1">
      <alignment horizontal="center" wrapText="1"/>
    </xf>
    <xf numFmtId="0" fontId="55" fillId="0" borderId="156" xfId="8" applyFont="1" applyBorder="1" applyAlignment="1">
      <alignment wrapText="1"/>
    </xf>
    <xf numFmtId="0" fontId="55" fillId="0" borderId="156" xfId="8" applyFont="1" applyBorder="1" applyAlignment="1">
      <alignment horizontal="center" wrapText="1"/>
    </xf>
    <xf numFmtId="0" fontId="54" fillId="0" borderId="102" xfId="8" quotePrefix="1" applyFont="1" applyBorder="1" applyAlignment="1">
      <alignment wrapText="1"/>
    </xf>
    <xf numFmtId="0" fontId="55" fillId="0" borderId="102" xfId="8" applyFont="1" applyBorder="1" applyAlignment="1">
      <alignment horizontal="center" wrapText="1"/>
    </xf>
    <xf numFmtId="0" fontId="55" fillId="0" borderId="11" xfId="8" applyFont="1" applyBorder="1" applyAlignment="1">
      <alignment readingOrder="1"/>
    </xf>
    <xf numFmtId="43" fontId="54" fillId="0" borderId="102" xfId="8" applyNumberFormat="1" applyFont="1" applyBorder="1" applyAlignment="1">
      <alignment horizontal="center" wrapText="1"/>
    </xf>
    <xf numFmtId="0" fontId="55" fillId="0" borderId="52" xfId="8" applyFont="1" applyBorder="1" applyAlignment="1">
      <alignment wrapText="1" readingOrder="1"/>
    </xf>
    <xf numFmtId="43" fontId="56" fillId="0" borderId="102" xfId="8" applyNumberFormat="1" applyFont="1" applyBorder="1" applyAlignment="1">
      <alignment horizontal="center" wrapText="1"/>
    </xf>
    <xf numFmtId="0" fontId="54" fillId="0" borderId="11" xfId="8" applyFont="1" applyFill="1" applyBorder="1" applyAlignment="1">
      <alignment horizontal="left" wrapText="1"/>
    </xf>
    <xf numFmtId="0" fontId="54" fillId="0" borderId="11" xfId="8" quotePrefix="1" applyFont="1" applyFill="1" applyBorder="1" applyAlignment="1">
      <alignment horizontal="left" vertical="top" wrapText="1"/>
    </xf>
    <xf numFmtId="0" fontId="54" fillId="0" borderId="11" xfId="8" quotePrefix="1" applyFont="1" applyFill="1" applyBorder="1" applyAlignment="1">
      <alignment horizontal="left" wrapText="1"/>
    </xf>
    <xf numFmtId="0" fontId="49" fillId="0" borderId="52" xfId="0" applyFont="1" applyBorder="1" applyAlignment="1">
      <alignment wrapText="1" readingOrder="1"/>
    </xf>
    <xf numFmtId="0" fontId="7" fillId="0" borderId="11" xfId="0" applyFont="1" applyFill="1" applyBorder="1" applyAlignment="1">
      <alignment horizontal="left" wrapText="1"/>
    </xf>
    <xf numFmtId="0" fontId="7" fillId="3" borderId="11" xfId="0" quotePrefix="1" applyFont="1" applyFill="1" applyBorder="1" applyAlignment="1">
      <alignment horizontal="left" wrapText="1"/>
    </xf>
    <xf numFmtId="0" fontId="7" fillId="3" borderId="52" xfId="0" quotePrefix="1" applyFont="1" applyFill="1" applyBorder="1" applyAlignment="1">
      <alignment horizontal="left" wrapText="1"/>
    </xf>
    <xf numFmtId="0" fontId="7" fillId="3" borderId="52" xfId="0" quotePrefix="1" applyFont="1" applyFill="1" applyBorder="1" applyAlignment="1">
      <alignment wrapText="1" readingOrder="1"/>
    </xf>
    <xf numFmtId="43" fontId="54" fillId="3" borderId="102" xfId="0" applyNumberFormat="1" applyFont="1" applyFill="1" applyBorder="1" applyAlignment="1">
      <alignment horizontal="center" wrapText="1"/>
    </xf>
    <xf numFmtId="167" fontId="54" fillId="3" borderId="102" xfId="11" applyNumberFormat="1" applyFont="1" applyFill="1" applyBorder="1" applyAlignment="1">
      <alignment horizontal="center" wrapText="1"/>
    </xf>
    <xf numFmtId="0" fontId="55" fillId="0" borderId="11" xfId="8" applyFont="1" applyFill="1" applyBorder="1" applyAlignment="1">
      <alignment readingOrder="1"/>
    </xf>
    <xf numFmtId="0" fontId="55" fillId="0" borderId="52" xfId="8" applyFont="1" applyFill="1" applyBorder="1" applyAlignment="1">
      <alignment wrapText="1" readingOrder="1"/>
    </xf>
    <xf numFmtId="43" fontId="56" fillId="0" borderId="102" xfId="8" applyNumberFormat="1" applyFont="1" applyFill="1" applyBorder="1" applyAlignment="1">
      <alignment horizontal="center" wrapText="1"/>
    </xf>
    <xf numFmtId="0" fontId="54" fillId="0" borderId="48" xfId="8" applyFont="1" applyFill="1" applyBorder="1" applyAlignment="1">
      <alignment wrapText="1" readingOrder="1"/>
    </xf>
    <xf numFmtId="0" fontId="54" fillId="0" borderId="160" xfId="8" applyFont="1" applyFill="1" applyBorder="1" applyAlignment="1">
      <alignment horizontal="center" wrapText="1"/>
    </xf>
    <xf numFmtId="0" fontId="54" fillId="0" borderId="102" xfId="8" quotePrefix="1" applyFont="1" applyFill="1" applyBorder="1" applyAlignment="1">
      <alignment horizontal="center" wrapText="1"/>
    </xf>
    <xf numFmtId="0" fontId="54" fillId="0" borderId="102" xfId="8" quotePrefix="1" applyFont="1" applyFill="1" applyBorder="1" applyAlignment="1">
      <alignment wrapText="1"/>
    </xf>
    <xf numFmtId="0" fontId="54" fillId="0" borderId="102" xfId="8" applyFont="1" applyFill="1" applyBorder="1" applyAlignment="1">
      <alignment horizontal="center" wrapText="1"/>
    </xf>
    <xf numFmtId="0" fontId="54" fillId="0" borderId="11" xfId="8" quotePrefix="1" applyFont="1" applyFill="1" applyBorder="1" applyAlignment="1">
      <alignment readingOrder="1"/>
    </xf>
    <xf numFmtId="0" fontId="54" fillId="3" borderId="11" xfId="8" quotePrefix="1" applyFont="1" applyFill="1" applyBorder="1" applyAlignment="1">
      <alignment readingOrder="1"/>
    </xf>
    <xf numFmtId="0" fontId="54" fillId="3" borderId="52" xfId="8" quotePrefix="1" applyFont="1" applyFill="1" applyBorder="1" applyAlignment="1">
      <alignment readingOrder="1"/>
    </xf>
    <xf numFmtId="0" fontId="58" fillId="0" borderId="11" xfId="0" quotePrefix="1" applyFont="1" applyFill="1" applyBorder="1" applyAlignment="1">
      <alignment readingOrder="1"/>
    </xf>
    <xf numFmtId="0" fontId="55" fillId="0" borderId="11" xfId="8" applyFont="1" applyBorder="1" applyAlignment="1">
      <alignment wrapText="1" readingOrder="1"/>
    </xf>
    <xf numFmtId="167" fontId="55" fillId="0" borderId="102" xfId="8" applyNumberFormat="1" applyFont="1" applyBorder="1" applyAlignment="1">
      <alignment horizontal="center" wrapText="1"/>
    </xf>
    <xf numFmtId="0" fontId="58" fillId="0" borderId="11" xfId="0" applyFont="1" applyBorder="1" applyAlignment="1">
      <alignment readingOrder="1"/>
    </xf>
    <xf numFmtId="0" fontId="54" fillId="0" borderId="11" xfId="0" applyFont="1" applyFill="1" applyBorder="1" applyAlignment="1">
      <alignment horizontal="left" wrapText="1"/>
    </xf>
    <xf numFmtId="0" fontId="54" fillId="3" borderId="11" xfId="0" quotePrefix="1" applyFont="1" applyFill="1" applyBorder="1" applyAlignment="1">
      <alignment horizontal="left" wrapText="1"/>
    </xf>
    <xf numFmtId="0" fontId="7" fillId="3" borderId="48" xfId="0" quotePrefix="1" applyFont="1" applyFill="1" applyBorder="1" applyAlignment="1">
      <alignment horizontal="left" wrapText="1"/>
    </xf>
    <xf numFmtId="0" fontId="58" fillId="0" borderId="48" xfId="0" applyFont="1" applyFill="1" applyBorder="1" applyAlignment="1">
      <alignment wrapText="1" readingOrder="1"/>
    </xf>
    <xf numFmtId="0" fontId="58" fillId="0" borderId="11" xfId="0" quotePrefix="1" applyFont="1" applyBorder="1" applyAlignment="1">
      <alignment readingOrder="1"/>
    </xf>
    <xf numFmtId="43" fontId="54" fillId="0" borderId="102" xfId="0" applyNumberFormat="1" applyFont="1" applyBorder="1" applyAlignment="1">
      <alignment horizontal="center" wrapText="1"/>
    </xf>
    <xf numFmtId="167" fontId="54" fillId="0" borderId="102" xfId="0" applyNumberFormat="1" applyFont="1" applyBorder="1" applyAlignment="1">
      <alignment horizontal="center" wrapText="1"/>
    </xf>
    <xf numFmtId="0" fontId="54" fillId="0" borderId="162" xfId="8" applyFont="1" applyFill="1" applyBorder="1" applyAlignment="1">
      <alignment wrapText="1" readingOrder="1"/>
    </xf>
    <xf numFmtId="0" fontId="54" fillId="0" borderId="162" xfId="8" quotePrefix="1" applyFont="1" applyBorder="1" applyAlignment="1">
      <alignment readingOrder="1"/>
    </xf>
    <xf numFmtId="167" fontId="54" fillId="0" borderId="102" xfId="8" applyNumberFormat="1" applyFont="1" applyBorder="1" applyAlignment="1">
      <alignment horizontal="center" wrapText="1"/>
    </xf>
    <xf numFmtId="0" fontId="7" fillId="0" borderId="162" xfId="0" applyFont="1" applyBorder="1" applyAlignment="1">
      <alignment readingOrder="1"/>
    </xf>
    <xf numFmtId="0" fontId="7" fillId="0" borderId="102" xfId="0" applyNumberFormat="1" applyFont="1" applyBorder="1" applyAlignment="1">
      <alignment horizontal="center" vertical="center" wrapText="1"/>
    </xf>
    <xf numFmtId="0" fontId="49" fillId="0" borderId="162" xfId="0" applyFont="1" applyFill="1" applyBorder="1" applyAlignment="1">
      <alignment wrapText="1" readingOrder="1"/>
    </xf>
    <xf numFmtId="0" fontId="58" fillId="0" borderId="162" xfId="0" applyFont="1" applyFill="1" applyBorder="1" applyAlignment="1">
      <alignment wrapText="1" readingOrder="1"/>
    </xf>
    <xf numFmtId="0" fontId="7" fillId="0" borderId="162" xfId="0" quotePrefix="1" applyFont="1" applyBorder="1" applyAlignment="1">
      <alignment readingOrder="1"/>
    </xf>
    <xf numFmtId="0" fontId="7" fillId="0" borderId="162" xfId="0" quotePrefix="1" applyFont="1" applyBorder="1" applyAlignment="1">
      <alignment wrapText="1" readingOrder="1"/>
    </xf>
    <xf numFmtId="0" fontId="58" fillId="0" borderId="162" xfId="0" quotePrefix="1" applyFont="1" applyBorder="1" applyAlignment="1">
      <alignment readingOrder="1"/>
    </xf>
    <xf numFmtId="0" fontId="55" fillId="0" borderId="212" xfId="8" applyFont="1" applyBorder="1" applyAlignment="1">
      <alignment vertical="center" wrapText="1"/>
    </xf>
    <xf numFmtId="0" fontId="55" fillId="0" borderId="164" xfId="8" applyNumberFormat="1" applyFont="1" applyBorder="1" applyAlignment="1">
      <alignment horizontal="center" vertical="center" wrapText="1"/>
    </xf>
    <xf numFmtId="0" fontId="54" fillId="0" borderId="164" xfId="8" applyNumberFormat="1" applyFont="1" applyFill="1" applyBorder="1" applyAlignment="1">
      <alignment horizontal="center" vertical="center" wrapText="1"/>
    </xf>
    <xf numFmtId="0" fontId="7" fillId="0" borderId="164" xfId="11" applyNumberFormat="1" applyFont="1" applyBorder="1" applyAlignment="1">
      <alignment horizontal="center" vertical="center" wrapText="1"/>
    </xf>
    <xf numFmtId="0" fontId="7" fillId="3" borderId="164" xfId="11" applyNumberFormat="1" applyFont="1" applyFill="1" applyBorder="1" applyAlignment="1">
      <alignment horizontal="center" vertical="center" wrapText="1"/>
    </xf>
    <xf numFmtId="0" fontId="7" fillId="3" borderId="164" xfId="0" applyNumberFormat="1" applyFont="1" applyFill="1" applyBorder="1" applyAlignment="1">
      <alignment horizontal="center" vertical="center" wrapText="1"/>
    </xf>
    <xf numFmtId="0" fontId="54" fillId="3" borderId="164" xfId="0" applyNumberFormat="1" applyFont="1" applyFill="1" applyBorder="1" applyAlignment="1">
      <alignment horizontal="center" vertical="center" wrapText="1"/>
    </xf>
    <xf numFmtId="0" fontId="54" fillId="0" borderId="164" xfId="12" applyNumberFormat="1" applyFont="1" applyFill="1" applyBorder="1" applyAlignment="1">
      <alignment horizontal="center" vertical="center" wrapText="1"/>
    </xf>
    <xf numFmtId="0" fontId="5" fillId="0" borderId="164" xfId="11" applyNumberFormat="1" applyFont="1" applyBorder="1" applyAlignment="1">
      <alignment horizontal="center" vertical="center" wrapText="1"/>
    </xf>
    <xf numFmtId="0" fontId="54" fillId="0" borderId="164" xfId="0" applyNumberFormat="1" applyFont="1" applyFill="1" applyBorder="1" applyAlignment="1">
      <alignment horizontal="center" vertical="center" wrapText="1"/>
    </xf>
    <xf numFmtId="0" fontId="7" fillId="0" borderId="164" xfId="11" applyNumberFormat="1" applyFont="1" applyFill="1" applyBorder="1" applyAlignment="1">
      <alignment horizontal="center" vertical="center" wrapText="1"/>
    </xf>
    <xf numFmtId="0" fontId="7" fillId="3" borderId="164" xfId="12" applyNumberFormat="1" applyFont="1" applyFill="1" applyBorder="1" applyAlignment="1">
      <alignment horizontal="center" vertical="center" wrapText="1"/>
    </xf>
    <xf numFmtId="167" fontId="55" fillId="0" borderId="156" xfId="8" applyNumberFormat="1" applyFont="1" applyBorder="1" applyAlignment="1">
      <alignment horizontal="center" wrapText="1"/>
    </xf>
    <xf numFmtId="167" fontId="55" fillId="0" borderId="166" xfId="8" applyNumberFormat="1" applyFont="1" applyBorder="1" applyAlignment="1">
      <alignment vertical="center" wrapText="1"/>
    </xf>
    <xf numFmtId="167" fontId="54" fillId="3" borderId="102" xfId="0" applyNumberFormat="1" applyFont="1" applyFill="1" applyBorder="1" applyAlignment="1">
      <alignment horizontal="center" wrapText="1"/>
    </xf>
    <xf numFmtId="167" fontId="55" fillId="0" borderId="102" xfId="8" applyNumberFormat="1" applyFont="1" applyFill="1" applyBorder="1" applyAlignment="1">
      <alignment horizontal="center" wrapText="1"/>
    </xf>
    <xf numFmtId="41" fontId="54" fillId="0" borderId="102" xfId="0" applyNumberFormat="1" applyFont="1" applyFill="1" applyBorder="1" applyAlignment="1">
      <alignment horizontal="center" wrapText="1"/>
    </xf>
    <xf numFmtId="41" fontId="7" fillId="0" borderId="102" xfId="0" applyNumberFormat="1" applyFont="1" applyBorder="1" applyAlignment="1">
      <alignment horizontal="center" wrapText="1"/>
    </xf>
    <xf numFmtId="0" fontId="55" fillId="0" borderId="52" xfId="8" applyFont="1" applyBorder="1" applyAlignment="1">
      <alignment vertical="center" wrapText="1"/>
    </xf>
    <xf numFmtId="0" fontId="54" fillId="3" borderId="52" xfId="8" applyFont="1" applyFill="1" applyBorder="1" applyAlignment="1">
      <alignment vertical="top" readingOrder="1"/>
    </xf>
    <xf numFmtId="0" fontId="7" fillId="0" borderId="46" xfId="0" quotePrefix="1" applyFont="1" applyBorder="1" applyAlignment="1">
      <alignment wrapText="1"/>
    </xf>
    <xf numFmtId="167" fontId="7" fillId="0" borderId="163" xfId="0" applyNumberFormat="1" applyFont="1" applyBorder="1" applyAlignment="1">
      <alignment horizontal="center" wrapText="1"/>
    </xf>
    <xf numFmtId="167" fontId="7" fillId="0" borderId="177" xfId="0" applyNumberFormat="1" applyFont="1" applyBorder="1" applyAlignment="1">
      <alignment horizontal="center" wrapText="1"/>
    </xf>
    <xf numFmtId="0" fontId="55" fillId="0" borderId="43" xfId="8" applyFont="1" applyBorder="1" applyAlignment="1">
      <alignment horizontal="left" vertical="center" wrapText="1" readingOrder="1"/>
    </xf>
    <xf numFmtId="0" fontId="55" fillId="0" borderId="14" xfId="8" applyFont="1" applyBorder="1" applyAlignment="1">
      <alignment horizontal="left" vertical="center" wrapText="1"/>
    </xf>
    <xf numFmtId="0" fontId="5" fillId="0" borderId="11" xfId="0" applyFont="1" applyBorder="1" applyAlignment="1">
      <alignment wrapText="1"/>
    </xf>
    <xf numFmtId="0" fontId="55" fillId="0" borderId="10" xfId="8" applyFont="1" applyBorder="1" applyAlignment="1">
      <alignment horizontal="left" wrapText="1" readingOrder="1"/>
    </xf>
    <xf numFmtId="0" fontId="5" fillId="0" borderId="50" xfId="0" applyFont="1" applyBorder="1" applyAlignment="1">
      <alignment wrapText="1"/>
    </xf>
    <xf numFmtId="0" fontId="24" fillId="0" borderId="12" xfId="0" quotePrefix="1" applyFont="1" applyBorder="1" applyAlignment="1">
      <alignment wrapText="1"/>
    </xf>
    <xf numFmtId="0" fontId="24" fillId="0" borderId="12" xfId="0" applyFont="1" applyBorder="1" applyAlignment="1">
      <alignment horizontal="center" wrapText="1"/>
    </xf>
    <xf numFmtId="0" fontId="7" fillId="3" borderId="50" xfId="0" quotePrefix="1" applyFont="1" applyFill="1" applyBorder="1" applyAlignment="1">
      <alignment wrapText="1" readingOrder="1"/>
    </xf>
    <xf numFmtId="0" fontId="7" fillId="0" borderId="11" xfId="8" applyNumberFormat="1" applyFont="1" applyFill="1" applyBorder="1" applyAlignment="1">
      <alignment horizontal="center" vertical="center" wrapText="1"/>
    </xf>
    <xf numFmtId="43" fontId="57" fillId="0" borderId="11" xfId="0" applyNumberFormat="1" applyFont="1" applyFill="1" applyBorder="1" applyAlignment="1">
      <alignment horizontal="center" wrapText="1"/>
    </xf>
    <xf numFmtId="0" fontId="58" fillId="3" borderId="47" xfId="0" applyFont="1" applyFill="1" applyBorder="1" applyAlignment="1">
      <alignment wrapText="1" readingOrder="1"/>
    </xf>
    <xf numFmtId="0" fontId="58" fillId="3" borderId="12" xfId="0" quotePrefix="1" applyFont="1" applyFill="1" applyBorder="1" applyAlignment="1">
      <alignment horizontal="left" readingOrder="1"/>
    </xf>
    <xf numFmtId="0" fontId="7" fillId="3" borderId="163" xfId="0" applyNumberFormat="1" applyFont="1" applyFill="1" applyBorder="1" applyAlignment="1">
      <alignment horizontal="center" vertical="center" wrapText="1"/>
    </xf>
    <xf numFmtId="0" fontId="54" fillId="0" borderId="178" xfId="0" applyFont="1" applyFill="1" applyBorder="1" applyAlignment="1">
      <alignment wrapText="1" readingOrder="1"/>
    </xf>
    <xf numFmtId="43" fontId="54" fillId="0" borderId="12" xfId="0" applyNumberFormat="1" applyFont="1" applyFill="1" applyBorder="1" applyAlignment="1">
      <alignment horizontal="center" wrapText="1"/>
    </xf>
    <xf numFmtId="0" fontId="7" fillId="3" borderId="50" xfId="0" quotePrefix="1" applyFont="1" applyFill="1" applyBorder="1" applyAlignment="1">
      <alignment horizontal="left" wrapText="1"/>
    </xf>
    <xf numFmtId="0" fontId="58" fillId="3" borderId="50" xfId="0" applyFont="1" applyFill="1" applyBorder="1" applyAlignment="1">
      <alignment readingOrder="1"/>
    </xf>
    <xf numFmtId="0" fontId="54" fillId="0" borderId="47" xfId="0" applyFont="1" applyFill="1" applyBorder="1" applyAlignment="1">
      <alignment wrapText="1" readingOrder="1"/>
    </xf>
    <xf numFmtId="43" fontId="54" fillId="0" borderId="10" xfId="0" applyNumberFormat="1" applyFont="1" applyFill="1" applyBorder="1" applyAlignment="1">
      <alignment horizontal="center" wrapText="1"/>
    </xf>
    <xf numFmtId="167" fontId="54" fillId="0" borderId="101"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2" xfId="0" applyNumberFormat="1" applyFont="1" applyBorder="1" applyAlignment="1">
      <alignment horizontal="center" vertical="center" wrapText="1"/>
    </xf>
    <xf numFmtId="0" fontId="5" fillId="0" borderId="44" xfId="0" applyNumberFormat="1" applyFont="1" applyBorder="1" applyAlignment="1">
      <alignment horizontal="center" vertical="center" wrapText="1"/>
    </xf>
    <xf numFmtId="0" fontId="7" fillId="0" borderId="50" xfId="11" applyNumberFormat="1" applyFont="1" applyBorder="1" applyAlignment="1">
      <alignment horizontal="center" vertical="center" wrapText="1"/>
    </xf>
    <xf numFmtId="0" fontId="7" fillId="0" borderId="102" xfId="0" applyFont="1" applyBorder="1" applyAlignment="1">
      <alignment horizontal="center" vertical="center"/>
    </xf>
    <xf numFmtId="0" fontId="7" fillId="0" borderId="0" xfId="0" quotePrefix="1" applyFont="1" applyFill="1" applyBorder="1" applyAlignment="1">
      <alignment wrapText="1" readingOrder="1"/>
    </xf>
    <xf numFmtId="167" fontId="7" fillId="0" borderId="102" xfId="1" applyNumberFormat="1" applyFont="1" applyBorder="1" applyAlignment="1">
      <alignment vertical="center"/>
    </xf>
    <xf numFmtId="0" fontId="7" fillId="0" borderId="197" xfId="0" quotePrefix="1" applyFont="1" applyBorder="1" applyAlignment="1">
      <alignment horizontal="left" vertical="center"/>
    </xf>
    <xf numFmtId="41" fontId="7" fillId="0" borderId="102" xfId="2" applyFont="1" applyBorder="1" applyAlignment="1">
      <alignment horizontal="right" vertical="center"/>
    </xf>
    <xf numFmtId="0" fontId="7" fillId="0" borderId="48" xfId="0" applyFont="1" applyBorder="1" applyAlignment="1">
      <alignment horizontal="center" vertical="center"/>
    </xf>
    <xf numFmtId="0" fontId="7" fillId="0" borderId="47" xfId="0" applyFont="1" applyBorder="1" applyAlignment="1">
      <alignment horizontal="center" vertical="center"/>
    </xf>
    <xf numFmtId="41" fontId="7" fillId="0" borderId="47" xfId="2" applyFont="1" applyBorder="1" applyAlignment="1">
      <alignment horizontal="right" vertical="center"/>
    </xf>
    <xf numFmtId="0" fontId="7" fillId="0" borderId="43" xfId="0" quotePrefix="1" applyFont="1" applyBorder="1" applyAlignment="1">
      <alignment horizontal="left" vertical="center"/>
    </xf>
    <xf numFmtId="0" fontId="54" fillId="0" borderId="12" xfId="0" applyFont="1" applyFill="1" applyBorder="1" applyAlignment="1">
      <alignment horizontal="left" wrapText="1"/>
    </xf>
    <xf numFmtId="167" fontId="54" fillId="0" borderId="12" xfId="11" applyNumberFormat="1" applyFont="1" applyBorder="1" applyAlignment="1">
      <alignment horizontal="center" wrapText="1"/>
    </xf>
    <xf numFmtId="0" fontId="54" fillId="3" borderId="47" xfId="0" applyFont="1" applyFill="1" applyBorder="1" applyAlignment="1">
      <alignment wrapText="1" readingOrder="1"/>
    </xf>
    <xf numFmtId="0" fontId="7" fillId="0" borderId="11" xfId="0" quotePrefix="1" applyFont="1" applyBorder="1" applyAlignment="1">
      <alignment readingOrder="1"/>
    </xf>
    <xf numFmtId="0" fontId="7" fillId="0" borderId="11" xfId="0" quotePrefix="1" applyFont="1" applyFill="1" applyBorder="1" applyAlignment="1">
      <alignment readingOrder="1"/>
    </xf>
    <xf numFmtId="0" fontId="58" fillId="0" borderId="12" xfId="0" quotePrefix="1" applyFont="1" applyBorder="1" applyAlignment="1">
      <alignment horizontal="left" readingOrder="1"/>
    </xf>
    <xf numFmtId="0" fontId="7" fillId="0" borderId="12" xfId="0" quotePrefix="1" applyFont="1" applyFill="1" applyBorder="1" applyAlignment="1">
      <alignment horizontal="left" vertical="center" wrapText="1" readingOrder="1"/>
    </xf>
    <xf numFmtId="43" fontId="7" fillId="0" borderId="11" xfId="0" applyNumberFormat="1" applyFont="1" applyFill="1" applyBorder="1" applyAlignment="1">
      <alignment horizontal="center" vertical="center" wrapText="1" readingOrder="1"/>
    </xf>
    <xf numFmtId="41" fontId="7" fillId="0" borderId="12" xfId="12" applyFont="1" applyFill="1" applyBorder="1" applyAlignment="1">
      <alignment horizontal="center" vertical="center" wrapText="1" readingOrder="1"/>
    </xf>
    <xf numFmtId="0" fontId="7" fillId="3" borderId="44" xfId="0" quotePrefix="1" applyFont="1" applyFill="1" applyBorder="1" applyAlignment="1">
      <alignment horizontal="left" wrapText="1"/>
    </xf>
    <xf numFmtId="0" fontId="7" fillId="3" borderId="177" xfId="0" quotePrefix="1" applyFont="1" applyFill="1" applyBorder="1" applyAlignment="1">
      <alignment horizontal="left" wrapText="1"/>
    </xf>
    <xf numFmtId="0" fontId="58" fillId="0" borderId="50" xfId="0" quotePrefix="1" applyFont="1" applyBorder="1" applyAlignment="1">
      <alignment readingOrder="1"/>
    </xf>
    <xf numFmtId="0" fontId="49" fillId="0" borderId="106" xfId="0" applyFont="1" applyFill="1" applyBorder="1" applyAlignment="1">
      <alignment wrapText="1" readingOrder="1"/>
    </xf>
    <xf numFmtId="0" fontId="58" fillId="3" borderId="47" xfId="0" quotePrefix="1" applyFont="1" applyFill="1" applyBorder="1" applyAlignment="1">
      <alignment readingOrder="1"/>
    </xf>
    <xf numFmtId="0" fontId="5" fillId="0" borderId="50" xfId="0" applyNumberFormat="1" applyFont="1" applyBorder="1" applyAlignment="1">
      <alignment horizontal="center" vertical="center" wrapText="1"/>
    </xf>
    <xf numFmtId="0" fontId="7" fillId="0" borderId="12" xfId="11" applyNumberFormat="1" applyFont="1" applyBorder="1" applyAlignment="1">
      <alignment horizontal="center" vertical="center" wrapText="1"/>
    </xf>
    <xf numFmtId="0" fontId="7" fillId="3" borderId="44" xfId="12"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12" xfId="12" applyNumberFormat="1" applyFont="1" applyBorder="1" applyAlignment="1">
      <alignment horizontal="center" vertical="center" wrapText="1"/>
    </xf>
    <xf numFmtId="0" fontId="7" fillId="0" borderId="177" xfId="12" applyNumberFormat="1" applyFont="1" applyBorder="1" applyAlignment="1">
      <alignment horizontal="center" vertical="center" wrapText="1"/>
    </xf>
    <xf numFmtId="0" fontId="7" fillId="0" borderId="177" xfId="11" applyNumberFormat="1" applyFont="1" applyFill="1" applyBorder="1" applyAlignment="1">
      <alignment horizontal="center" vertical="center" wrapText="1"/>
    </xf>
    <xf numFmtId="0" fontId="7" fillId="0" borderId="50" xfId="12" applyNumberFormat="1" applyFont="1" applyBorder="1" applyAlignment="1">
      <alignment horizontal="center" vertical="center" wrapText="1"/>
    </xf>
    <xf numFmtId="37" fontId="7" fillId="0" borderId="12" xfId="1" applyNumberFormat="1" applyFont="1" applyBorder="1" applyAlignment="1">
      <alignment horizontal="center" vertical="center" wrapText="1"/>
    </xf>
    <xf numFmtId="3" fontId="7" fillId="0" borderId="50" xfId="1" applyNumberFormat="1" applyFont="1" applyBorder="1" applyAlignment="1">
      <alignment horizontal="center" vertical="center" wrapText="1"/>
    </xf>
    <xf numFmtId="0" fontId="58" fillId="0" borderId="12" xfId="0" quotePrefix="1" applyFont="1" applyBorder="1" applyAlignment="1">
      <alignment wrapText="1" readingOrder="1"/>
    </xf>
    <xf numFmtId="0" fontId="7" fillId="0" borderId="0" xfId="0" quotePrefix="1" applyFont="1" applyFill="1" applyBorder="1" applyAlignment="1">
      <alignment vertical="center" wrapText="1"/>
    </xf>
    <xf numFmtId="0" fontId="7" fillId="0" borderId="0" xfId="0" applyFont="1" applyFill="1" applyBorder="1" applyAlignment="1">
      <alignment vertical="center" wrapText="1"/>
    </xf>
    <xf numFmtId="167" fontId="54" fillId="0" borderId="12" xfId="0" applyNumberFormat="1" applyFont="1" applyFill="1" applyBorder="1" applyAlignment="1">
      <alignment horizontal="center" vertical="center" wrapText="1"/>
    </xf>
    <xf numFmtId="167" fontId="7" fillId="0" borderId="43" xfId="13" applyNumberFormat="1" applyFont="1" applyBorder="1" applyAlignment="1">
      <alignment horizontal="center" vertical="center" wrapText="1"/>
    </xf>
    <xf numFmtId="41" fontId="4" fillId="0" borderId="12" xfId="0" applyNumberFormat="1" applyFont="1" applyFill="1" applyBorder="1" applyAlignment="1">
      <alignment horizontal="left" vertical="center" wrapText="1"/>
    </xf>
    <xf numFmtId="0" fontId="3" fillId="0" borderId="12" xfId="0" quotePrefix="1" applyFont="1" applyFill="1" applyBorder="1" applyAlignment="1">
      <alignment horizontal="center" vertical="center"/>
    </xf>
    <xf numFmtId="0" fontId="4" fillId="0" borderId="12" xfId="0" applyFont="1" applyBorder="1" applyAlignment="1">
      <alignment horizontal="center" vertical="center" wrapText="1"/>
    </xf>
    <xf numFmtId="41" fontId="4" fillId="0" borderId="12" xfId="0" applyNumberFormat="1" applyFont="1" applyBorder="1" applyAlignment="1">
      <alignment horizontal="left" vertical="center" wrapText="1"/>
    </xf>
    <xf numFmtId="0" fontId="7" fillId="0" borderId="213" xfId="0" applyFont="1" applyBorder="1" applyAlignment="1">
      <alignment horizontal="center" wrapText="1"/>
    </xf>
    <xf numFmtId="0" fontId="7" fillId="0" borderId="57" xfId="0" applyFont="1" applyBorder="1" applyAlignment="1">
      <alignment wrapText="1"/>
    </xf>
    <xf numFmtId="168" fontId="7" fillId="0" borderId="0" xfId="0" applyNumberFormat="1" applyFont="1" applyFill="1" applyBorder="1" applyAlignment="1">
      <alignment horizontal="center"/>
    </xf>
    <xf numFmtId="0" fontId="7" fillId="0" borderId="0" xfId="0" applyFont="1" applyFill="1" applyBorder="1" applyAlignment="1">
      <alignment horizontal="center"/>
    </xf>
    <xf numFmtId="0" fontId="42"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44" fillId="0" borderId="0" xfId="0" applyFont="1" applyFill="1" applyBorder="1" applyAlignment="1">
      <alignment horizontal="center" vertical="center"/>
    </xf>
    <xf numFmtId="166" fontId="44" fillId="0" borderId="0" xfId="5" applyFont="1" applyFill="1" applyBorder="1" applyAlignment="1">
      <alignment horizontal="center" vertical="center"/>
    </xf>
    <xf numFmtId="0" fontId="40"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7" fillId="0" borderId="31" xfId="0" applyFont="1" applyBorder="1" applyAlignment="1">
      <alignment vertical="center" wrapText="1"/>
    </xf>
    <xf numFmtId="0" fontId="7" fillId="0" borderId="109" xfId="0" applyFont="1" applyBorder="1" applyAlignment="1">
      <alignment vertical="center" wrapText="1"/>
    </xf>
    <xf numFmtId="0" fontId="7" fillId="0" borderId="28" xfId="0" applyFont="1" applyBorder="1" applyAlignment="1">
      <alignment horizontal="left" vertical="center" wrapText="1"/>
    </xf>
    <xf numFmtId="0" fontId="7" fillId="0" borderId="3" xfId="0" applyFont="1" applyBorder="1" applyAlignment="1">
      <alignment vertical="center" wrapText="1"/>
    </xf>
    <xf numFmtId="0" fontId="7" fillId="0" borderId="29" xfId="0" applyFont="1" applyBorder="1" applyAlignment="1">
      <alignment vertical="center" wrapText="1"/>
    </xf>
    <xf numFmtId="0" fontId="7" fillId="0" borderId="24" xfId="0" applyFont="1" applyBorder="1" applyAlignment="1">
      <alignment vertical="center" wrapText="1"/>
    </xf>
    <xf numFmtId="0" fontId="7" fillId="0" borderId="1" xfId="0" applyFont="1" applyBorder="1" applyAlignment="1">
      <alignment vertical="center" wrapText="1"/>
    </xf>
    <xf numFmtId="0" fontId="7" fillId="0" borderId="25" xfId="0" applyFont="1" applyBorder="1" applyAlignment="1">
      <alignment vertical="center" wrapText="1"/>
    </xf>
    <xf numFmtId="0" fontId="7" fillId="0" borderId="110" xfId="0" applyFont="1" applyBorder="1" applyAlignment="1">
      <alignment vertical="center" wrapText="1"/>
    </xf>
    <xf numFmtId="0" fontId="7" fillId="0" borderId="111" xfId="0" applyFont="1" applyBorder="1" applyAlignment="1">
      <alignment vertical="center" wrapText="1"/>
    </xf>
    <xf numFmtId="0" fontId="7" fillId="0" borderId="112" xfId="0" applyFont="1" applyBorder="1" applyAlignment="1">
      <alignment vertical="center" wrapText="1"/>
    </xf>
    <xf numFmtId="0" fontId="7" fillId="0" borderId="32" xfId="0" applyFont="1" applyBorder="1" applyAlignment="1">
      <alignment vertical="center" wrapText="1"/>
    </xf>
    <xf numFmtId="0" fontId="7" fillId="0" borderId="30" xfId="0" applyFont="1" applyBorder="1" applyAlignment="1">
      <alignment vertical="center" wrapText="1"/>
    </xf>
    <xf numFmtId="0" fontId="6" fillId="0" borderId="0" xfId="0" applyFont="1" applyBorder="1" applyAlignment="1">
      <alignment horizontal="left" vertical="center"/>
    </xf>
    <xf numFmtId="0" fontId="5" fillId="0" borderId="0" xfId="0" applyFont="1" applyAlignment="1">
      <alignment horizontal="center" vertical="center"/>
    </xf>
    <xf numFmtId="0" fontId="45" fillId="0" borderId="0" xfId="0" applyFont="1" applyAlignment="1">
      <alignment horizontal="center" vertical="center"/>
    </xf>
    <xf numFmtId="0" fontId="7" fillId="0" borderId="128" xfId="0" applyFont="1" applyBorder="1" applyAlignment="1">
      <alignment horizontal="left" vertical="center" wrapText="1"/>
    </xf>
    <xf numFmtId="0" fontId="7" fillId="0" borderId="91" xfId="0" applyFont="1" applyBorder="1" applyAlignment="1">
      <alignment horizontal="left" vertical="center" wrapText="1"/>
    </xf>
    <xf numFmtId="0" fontId="7" fillId="0" borderId="143" xfId="0" applyFont="1" applyBorder="1" applyAlignment="1">
      <alignment horizontal="left" vertical="center" wrapText="1"/>
    </xf>
    <xf numFmtId="0" fontId="4" fillId="0" borderId="2" xfId="0" applyFont="1" applyBorder="1" applyAlignment="1">
      <alignment horizontal="left" vertical="center" wrapText="1"/>
    </xf>
    <xf numFmtId="0" fontId="4" fillId="0" borderId="37"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23" xfId="0" applyFont="1" applyBorder="1" applyAlignment="1">
      <alignment horizontal="center" vertical="center" wrapText="1"/>
    </xf>
    <xf numFmtId="0" fontId="4" fillId="0" borderId="56"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center" wrapText="1"/>
    </xf>
    <xf numFmtId="0" fontId="12" fillId="0" borderId="23"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124" xfId="0" applyFont="1" applyBorder="1" applyAlignment="1">
      <alignment horizontal="center" vertical="center" wrapText="1"/>
    </xf>
    <xf numFmtId="0" fontId="3" fillId="0" borderId="125" xfId="0" applyFont="1" applyBorder="1" applyAlignment="1">
      <alignment horizontal="center" vertical="center"/>
    </xf>
    <xf numFmtId="0" fontId="3" fillId="0" borderId="7" xfId="0" applyFont="1" applyBorder="1" applyAlignment="1">
      <alignment horizontal="center" vertical="center"/>
    </xf>
    <xf numFmtId="0" fontId="3" fillId="0" borderId="126" xfId="0" applyFont="1" applyBorder="1" applyAlignment="1">
      <alignment horizontal="center" vertical="center"/>
    </xf>
    <xf numFmtId="0" fontId="3" fillId="0" borderId="55" xfId="0" applyFont="1" applyBorder="1" applyAlignment="1">
      <alignment horizontal="center" vertical="center"/>
    </xf>
    <xf numFmtId="0" fontId="3" fillId="0" borderId="1" xfId="0" applyFont="1" applyBorder="1" applyAlignment="1">
      <alignment horizontal="center" vertical="center"/>
    </xf>
    <xf numFmtId="0" fontId="3" fillId="0" borderId="127" xfId="0" applyFont="1" applyBorder="1" applyAlignment="1">
      <alignment horizontal="center" vertical="center"/>
    </xf>
    <xf numFmtId="0" fontId="7" fillId="0" borderId="0" xfId="0" applyFont="1" applyBorder="1" applyAlignment="1">
      <alignment vertical="center"/>
    </xf>
    <xf numFmtId="0" fontId="7" fillId="0" borderId="80" xfId="0" applyFont="1" applyBorder="1" applyAlignment="1">
      <alignmen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6"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7" fillId="0" borderId="26"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137" xfId="0" applyFont="1" applyBorder="1" applyAlignment="1">
      <alignment horizontal="center" vertical="center" wrapText="1"/>
    </xf>
    <xf numFmtId="0" fontId="7" fillId="0" borderId="56" xfId="0" applyFont="1" applyBorder="1" applyAlignment="1">
      <alignment horizontal="center" vertical="center"/>
    </xf>
    <xf numFmtId="0" fontId="7" fillId="0" borderId="2" xfId="0" applyFont="1" applyBorder="1" applyAlignment="1">
      <alignment horizontal="center" vertical="center"/>
    </xf>
    <xf numFmtId="0" fontId="7" fillId="0" borderId="137" xfId="0" applyFont="1" applyBorder="1" applyAlignment="1">
      <alignment horizontal="center" vertical="center"/>
    </xf>
    <xf numFmtId="0" fontId="7" fillId="0" borderId="137" xfId="0" applyFont="1" applyBorder="1" applyAlignment="1">
      <alignment vertical="center"/>
    </xf>
    <xf numFmtId="0" fontId="7" fillId="0" borderId="4" xfId="0" applyFont="1" applyBorder="1" applyAlignment="1">
      <alignment horizontal="center" vertical="center"/>
    </xf>
    <xf numFmtId="0" fontId="16" fillId="0" borderId="26" xfId="0" applyFont="1" applyBorder="1" applyAlignment="1">
      <alignment vertical="center"/>
    </xf>
    <xf numFmtId="0" fontId="16" fillId="0" borderId="2" xfId="0" applyFont="1" applyBorder="1" applyAlignment="1">
      <alignment vertical="center"/>
    </xf>
    <xf numFmtId="0" fontId="16" fillId="0" borderId="4" xfId="0" applyFont="1" applyBorder="1" applyAlignment="1">
      <alignment vertical="center"/>
    </xf>
    <xf numFmtId="0" fontId="16" fillId="0" borderId="56"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2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5" fillId="0" borderId="56" xfId="0" applyFont="1" applyBorder="1" applyAlignment="1">
      <alignment horizontal="center" vertical="center"/>
    </xf>
    <xf numFmtId="0" fontId="5" fillId="0" borderId="2"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4" xfId="0" applyFont="1" applyBorder="1" applyAlignment="1">
      <alignment horizontal="center" vertical="center"/>
    </xf>
    <xf numFmtId="0" fontId="3" fillId="0" borderId="65" xfId="0" applyFont="1" applyBorder="1" applyAlignment="1">
      <alignment horizontal="center" vertical="center"/>
    </xf>
    <xf numFmtId="0" fontId="3" fillId="0" borderId="3" xfId="0" applyFont="1" applyBorder="1" applyAlignment="1">
      <alignment horizontal="center" vertical="center"/>
    </xf>
    <xf numFmtId="0" fontId="3" fillId="0" borderId="86" xfId="0" applyFont="1" applyBorder="1" applyAlignment="1">
      <alignment horizontal="center" vertical="center"/>
    </xf>
    <xf numFmtId="0" fontId="3" fillId="0" borderId="58" xfId="0" applyFont="1" applyBorder="1" applyAlignment="1">
      <alignment horizontal="center" vertical="center"/>
    </xf>
    <xf numFmtId="0" fontId="5" fillId="0" borderId="65" xfId="0" applyFont="1" applyBorder="1" applyAlignment="1">
      <alignment horizontal="center" vertical="center"/>
    </xf>
    <xf numFmtId="0" fontId="5" fillId="0" borderId="3" xfId="0" applyFont="1" applyBorder="1" applyAlignment="1">
      <alignment horizontal="center" vertical="center"/>
    </xf>
    <xf numFmtId="0" fontId="5" fillId="0" borderId="119" xfId="0" applyFont="1" applyBorder="1" applyAlignment="1">
      <alignment horizontal="center" vertical="center"/>
    </xf>
    <xf numFmtId="0" fontId="5" fillId="0" borderId="55" xfId="0" applyFont="1" applyBorder="1" applyAlignment="1">
      <alignment horizontal="center" vertical="center"/>
    </xf>
    <xf numFmtId="0" fontId="5" fillId="0" borderId="1"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4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35" xfId="0" applyFont="1" applyBorder="1" applyAlignment="1">
      <alignment horizontal="center" vertical="center" wrapText="1"/>
    </xf>
    <xf numFmtId="0" fontId="16" fillId="0" borderId="26" xfId="0" applyFont="1" applyBorder="1" applyAlignment="1">
      <alignment horizontal="left" vertical="center"/>
    </xf>
    <xf numFmtId="0" fontId="16" fillId="0" borderId="2" xfId="0" applyFont="1" applyBorder="1" applyAlignment="1">
      <alignment horizontal="left" vertical="center"/>
    </xf>
    <xf numFmtId="0" fontId="16" fillId="0" borderId="137" xfId="0" applyFont="1" applyBorder="1" applyAlignment="1">
      <alignment horizontal="left" vertical="center"/>
    </xf>
    <xf numFmtId="0" fontId="7" fillId="0" borderId="140" xfId="0" applyFont="1" applyBorder="1" applyAlignment="1">
      <alignment vertical="center"/>
    </xf>
    <xf numFmtId="0" fontId="7" fillId="0" borderId="1" xfId="0" applyFont="1" applyBorder="1" applyAlignment="1">
      <alignment vertical="center"/>
    </xf>
    <xf numFmtId="0" fontId="7" fillId="0" borderId="36" xfId="0" applyFont="1" applyBorder="1" applyAlignment="1">
      <alignment vertical="center"/>
    </xf>
    <xf numFmtId="0" fontId="3" fillId="0" borderId="26" xfId="0" applyFont="1" applyBorder="1" applyAlignment="1">
      <alignment horizontal="right" vertical="center"/>
    </xf>
    <xf numFmtId="0" fontId="3" fillId="0" borderId="2" xfId="0" applyFont="1" applyBorder="1" applyAlignment="1">
      <alignment horizontal="right" vertical="center"/>
    </xf>
    <xf numFmtId="0" fontId="3" fillId="0" borderId="137" xfId="0" applyFont="1" applyBorder="1" applyAlignment="1">
      <alignment horizontal="right" vertical="center"/>
    </xf>
    <xf numFmtId="0" fontId="7" fillId="0" borderId="138" xfId="0" applyFont="1" applyBorder="1" applyAlignment="1">
      <alignment vertical="center"/>
    </xf>
    <xf numFmtId="0" fontId="7" fillId="0" borderId="3" xfId="0" applyFont="1" applyBorder="1" applyAlignment="1">
      <alignment vertical="center"/>
    </xf>
    <xf numFmtId="0" fontId="7" fillId="0" borderId="38" xfId="0" applyFont="1" applyBorder="1" applyAlignment="1">
      <alignment vertical="center"/>
    </xf>
    <xf numFmtId="20" fontId="7" fillId="0" borderId="5" xfId="0" quotePrefix="1" applyNumberFormat="1" applyFont="1" applyBorder="1" applyAlignment="1">
      <alignment horizontal="center" vertical="center"/>
    </xf>
    <xf numFmtId="0" fontId="7" fillId="0" borderId="5" xfId="0" applyFont="1" applyBorder="1" applyAlignment="1">
      <alignment horizontal="center" vertical="center"/>
    </xf>
    <xf numFmtId="0" fontId="7" fillId="0" borderId="13" xfId="0" quotePrefix="1"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left" vertical="center" wrapText="1"/>
    </xf>
    <xf numFmtId="165" fontId="16" fillId="0" borderId="5" xfId="0" applyNumberFormat="1" applyFont="1" applyBorder="1" applyAlignment="1">
      <alignment horizontal="center" vertical="center"/>
    </xf>
    <xf numFmtId="165" fontId="16" fillId="0" borderId="5" xfId="1" applyNumberFormat="1" applyFont="1" applyBorder="1" applyAlignment="1">
      <alignment horizontal="center" vertical="center"/>
    </xf>
    <xf numFmtId="0" fontId="16" fillId="0" borderId="35" xfId="1" applyNumberFormat="1" applyFont="1" applyBorder="1" applyAlignment="1">
      <alignment horizontal="center" vertical="center"/>
    </xf>
    <xf numFmtId="0" fontId="7" fillId="0" borderId="13" xfId="0" applyFont="1" applyBorder="1" applyAlignment="1">
      <alignment horizontal="left" vertical="center" wrapText="1"/>
    </xf>
    <xf numFmtId="165" fontId="16" fillId="0" borderId="13" xfId="0" applyNumberFormat="1" applyFont="1" applyBorder="1" applyAlignment="1">
      <alignment horizontal="center" vertical="center"/>
    </xf>
    <xf numFmtId="165" fontId="16" fillId="0" borderId="13" xfId="1" applyNumberFormat="1" applyFont="1" applyBorder="1" applyAlignment="1">
      <alignment horizontal="center" vertical="center"/>
    </xf>
    <xf numFmtId="0" fontId="16" fillId="0" borderId="83" xfId="1" applyNumberFormat="1" applyFont="1" applyBorder="1" applyAlignment="1">
      <alignment horizontal="center" vertical="center"/>
    </xf>
    <xf numFmtId="0" fontId="3" fillId="0" borderId="115"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43" fontId="7" fillId="0" borderId="5" xfId="1" applyFont="1" applyBorder="1" applyAlignment="1">
      <alignment horizontal="center" vertical="center"/>
    </xf>
    <xf numFmtId="43" fontId="7" fillId="0" borderId="35" xfId="1" applyFont="1" applyBorder="1" applyAlignment="1">
      <alignment horizontal="center" vertical="center"/>
    </xf>
    <xf numFmtId="0" fontId="16" fillId="0" borderId="5" xfId="0" applyFont="1" applyBorder="1" applyAlignment="1">
      <alignment horizontal="center" vertical="center"/>
    </xf>
    <xf numFmtId="0" fontId="7" fillId="0" borderId="154" xfId="0" applyFont="1" applyBorder="1" applyAlignment="1">
      <alignment horizontal="center" vertical="center"/>
    </xf>
    <xf numFmtId="0" fontId="7" fillId="0" borderId="155" xfId="0" applyFont="1" applyBorder="1" applyAlignment="1">
      <alignment horizontal="center" vertical="center"/>
    </xf>
    <xf numFmtId="0" fontId="7" fillId="0" borderId="154" xfId="0" applyFont="1" applyBorder="1" applyAlignment="1">
      <alignment horizontal="center" vertical="center" wrapText="1"/>
    </xf>
    <xf numFmtId="0" fontId="7" fillId="0" borderId="5" xfId="0" applyFont="1" applyBorder="1" applyAlignment="1">
      <alignment horizontal="center" vertical="center" wrapText="1"/>
    </xf>
    <xf numFmtId="0" fontId="16" fillId="0" borderId="5" xfId="1" applyNumberFormat="1" applyFont="1" applyBorder="1" applyAlignment="1">
      <alignment horizontal="center" vertical="center"/>
    </xf>
    <xf numFmtId="0" fontId="3" fillId="0" borderId="139" xfId="0" applyFont="1" applyBorder="1" applyAlignment="1">
      <alignment horizontal="center"/>
    </xf>
    <xf numFmtId="0" fontId="3" fillId="0" borderId="87" xfId="0" applyFont="1" applyBorder="1" applyAlignment="1">
      <alignment horizontal="center"/>
    </xf>
    <xf numFmtId="0" fontId="5" fillId="0" borderId="140" xfId="0" applyFont="1" applyBorder="1" applyAlignment="1">
      <alignment horizontal="center" wrapText="1"/>
    </xf>
    <xf numFmtId="0" fontId="5" fillId="0" borderId="1" xfId="0" applyFont="1" applyBorder="1" applyAlignment="1">
      <alignment horizontal="center" wrapText="1"/>
    </xf>
    <xf numFmtId="0" fontId="5" fillId="0" borderId="36" xfId="0" applyFont="1" applyBorder="1" applyAlignment="1">
      <alignment horizontal="center" wrapText="1"/>
    </xf>
    <xf numFmtId="0" fontId="5" fillId="3" borderId="140" xfId="0" applyFont="1" applyFill="1" applyBorder="1" applyAlignment="1">
      <alignment horizontal="center" wrapText="1"/>
    </xf>
    <xf numFmtId="0" fontId="5" fillId="3" borderId="1" xfId="0" applyFont="1" applyFill="1" applyBorder="1" applyAlignment="1">
      <alignment horizontal="center" wrapText="1"/>
    </xf>
    <xf numFmtId="0" fontId="5" fillId="3" borderId="36" xfId="0" applyFont="1" applyFill="1" applyBorder="1" applyAlignment="1">
      <alignment horizontal="center" wrapText="1"/>
    </xf>
    <xf numFmtId="0" fontId="5" fillId="0" borderId="35" xfId="0" applyFont="1" applyBorder="1" applyAlignment="1">
      <alignment horizontal="center" vertical="center"/>
    </xf>
    <xf numFmtId="0" fontId="5" fillId="0" borderId="1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40"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12" fillId="0" borderId="39" xfId="0" applyFont="1" applyBorder="1" applyAlignment="1">
      <alignment horizontal="center" vertical="center" wrapText="1"/>
    </xf>
    <xf numFmtId="0" fontId="3" fillId="0" borderId="125" xfId="0" applyFont="1" applyBorder="1" applyAlignment="1">
      <alignment horizontal="center"/>
    </xf>
    <xf numFmtId="0" fontId="3" fillId="0" borderId="7" xfId="0" applyFont="1" applyBorder="1" applyAlignment="1">
      <alignment horizontal="center"/>
    </xf>
    <xf numFmtId="0" fontId="3" fillId="0" borderId="104" xfId="0" applyFont="1" applyBorder="1" applyAlignment="1">
      <alignment horizontal="center"/>
    </xf>
    <xf numFmtId="0" fontId="3" fillId="0" borderId="78" xfId="0" applyFont="1" applyBorder="1" applyAlignment="1">
      <alignment horizontal="center"/>
    </xf>
    <xf numFmtId="0" fontId="3" fillId="0" borderId="6" xfId="0" applyFont="1" applyBorder="1" applyAlignment="1">
      <alignment horizontal="center"/>
    </xf>
    <xf numFmtId="0" fontId="3" fillId="0" borderId="130" xfId="0" applyFont="1" applyBorder="1" applyAlignment="1">
      <alignment horizontal="center"/>
    </xf>
    <xf numFmtId="0" fontId="4" fillId="0" borderId="125" xfId="0" applyFont="1" applyBorder="1" applyAlignment="1">
      <alignment horizontal="left" wrapText="1"/>
    </xf>
    <xf numFmtId="0" fontId="4" fillId="0" borderId="7" xfId="0" applyFont="1" applyBorder="1" applyAlignment="1">
      <alignment horizontal="left" wrapText="1"/>
    </xf>
    <xf numFmtId="0" fontId="4" fillId="0" borderId="104" xfId="0" applyFont="1" applyBorder="1" applyAlignment="1">
      <alignment horizontal="left" wrapText="1"/>
    </xf>
    <xf numFmtId="0" fontId="4" fillId="0" borderId="78" xfId="0" applyFont="1" applyBorder="1" applyAlignment="1">
      <alignment wrapText="1"/>
    </xf>
    <xf numFmtId="0" fontId="4" fillId="0" borderId="6" xfId="0" applyFont="1" applyBorder="1" applyAlignment="1">
      <alignment wrapText="1"/>
    </xf>
    <xf numFmtId="0" fontId="7" fillId="0" borderId="6" xfId="0" applyFont="1" applyBorder="1" applyAlignment="1">
      <alignment horizontal="left" wrapText="1"/>
    </xf>
    <xf numFmtId="0" fontId="7" fillId="0" borderId="130" xfId="0" applyFont="1" applyBorder="1" applyAlignment="1">
      <alignment horizontal="left" wrapText="1"/>
    </xf>
    <xf numFmtId="0" fontId="4" fillId="0" borderId="129" xfId="0" applyFont="1" applyBorder="1" applyAlignment="1">
      <alignment horizontal="left" wrapText="1"/>
    </xf>
    <xf numFmtId="0" fontId="3" fillId="0" borderId="85" xfId="0" applyFont="1" applyBorder="1" applyAlignment="1">
      <alignment horizontal="left" wrapText="1"/>
    </xf>
    <xf numFmtId="0" fontId="5" fillId="0" borderId="128" xfId="0" applyFont="1" applyBorder="1" applyAlignment="1">
      <alignment horizontal="center"/>
    </xf>
    <xf numFmtId="0" fontId="5" fillId="0" borderId="75" xfId="0" applyFont="1" applyBorder="1" applyAlignment="1">
      <alignment horizontal="center"/>
    </xf>
    <xf numFmtId="0" fontId="5" fillId="0" borderId="28" xfId="0" applyFont="1" applyBorder="1" applyAlignment="1">
      <alignment horizontal="center"/>
    </xf>
    <xf numFmtId="0" fontId="5" fillId="0" borderId="38" xfId="0" applyFont="1" applyBorder="1" applyAlignment="1">
      <alignment horizontal="center"/>
    </xf>
    <xf numFmtId="0" fontId="4" fillId="0" borderId="85" xfId="0" quotePrefix="1" applyFont="1" applyBorder="1" applyAlignment="1">
      <alignment horizontal="left" wrapText="1"/>
    </xf>
    <xf numFmtId="0" fontId="4" fillId="0" borderId="146" xfId="0" quotePrefix="1" applyFont="1" applyBorder="1" applyAlignment="1">
      <alignment horizontal="left" wrapText="1"/>
    </xf>
    <xf numFmtId="0" fontId="5" fillId="0" borderId="81" xfId="0" applyFont="1" applyBorder="1" applyAlignment="1">
      <alignment horizontal="center" wrapText="1"/>
    </xf>
    <xf numFmtId="0" fontId="5" fillId="0" borderId="88" xfId="0" applyFont="1" applyBorder="1" applyAlignment="1">
      <alignment horizontal="center" wrapText="1"/>
    </xf>
    <xf numFmtId="0" fontId="5" fillId="0" borderId="18" xfId="0" applyFont="1" applyBorder="1" applyAlignment="1">
      <alignment horizontal="center" wrapText="1"/>
    </xf>
    <xf numFmtId="0" fontId="5" fillId="0" borderId="1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5" xfId="0" applyFont="1" applyBorder="1" applyAlignment="1">
      <alignment horizontal="center" vertical="center" wrapText="1"/>
    </xf>
    <xf numFmtId="0" fontId="3" fillId="0" borderId="140" xfId="0" applyFont="1" applyBorder="1" applyAlignment="1">
      <alignment horizontal="center" wrapText="1"/>
    </xf>
    <xf numFmtId="0" fontId="3" fillId="0" borderId="1" xfId="0" applyFont="1" applyBorder="1" applyAlignment="1">
      <alignment horizontal="center" wrapText="1"/>
    </xf>
    <xf numFmtId="0" fontId="3" fillId="3" borderId="140" xfId="0" applyFont="1" applyFill="1" applyBorder="1" applyAlignment="1">
      <alignment horizontal="center" wrapText="1"/>
    </xf>
    <xf numFmtId="0" fontId="3" fillId="3" borderId="1" xfId="0" applyFont="1" applyFill="1" applyBorder="1" applyAlignment="1">
      <alignment horizontal="center" wrapText="1"/>
    </xf>
    <xf numFmtId="0" fontId="5" fillId="0" borderId="13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39" xfId="0" applyFont="1" applyBorder="1" applyAlignment="1">
      <alignment horizontal="center" vertical="center" wrapText="1"/>
    </xf>
    <xf numFmtId="0" fontId="5" fillId="3" borderId="2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140"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139" xfId="0" applyFont="1" applyFill="1" applyBorder="1" applyAlignment="1">
      <alignment horizontal="center" vertical="center" wrapText="1"/>
    </xf>
    <xf numFmtId="167" fontId="5" fillId="3" borderId="8" xfId="0" applyNumberFormat="1" applyFont="1" applyFill="1" applyBorder="1" applyAlignment="1">
      <alignment horizontal="center"/>
    </xf>
    <xf numFmtId="167" fontId="5" fillId="3" borderId="88" xfId="0" applyNumberFormat="1" applyFont="1" applyFill="1" applyBorder="1" applyAlignment="1">
      <alignment horizontal="center"/>
    </xf>
    <xf numFmtId="167" fontId="5" fillId="3" borderId="18" xfId="0" applyNumberFormat="1" applyFont="1" applyFill="1" applyBorder="1" applyAlignment="1">
      <alignment horizontal="center"/>
    </xf>
    <xf numFmtId="0" fontId="7" fillId="0" borderId="54" xfId="0" applyFont="1" applyBorder="1" applyAlignment="1">
      <alignment horizontal="center" wrapText="1"/>
    </xf>
    <xf numFmtId="0" fontId="7" fillId="0" borderId="23" xfId="0" applyFont="1" applyBorder="1" applyAlignment="1">
      <alignment horizontal="center" wrapText="1"/>
    </xf>
    <xf numFmtId="0" fontId="7" fillId="0" borderId="74" xfId="0" applyFont="1" applyBorder="1" applyAlignment="1">
      <alignment horizontal="center" wrapText="1"/>
    </xf>
    <xf numFmtId="0" fontId="7" fillId="0" borderId="0" xfId="0" applyFont="1" applyBorder="1" applyAlignment="1">
      <alignment horizontal="center" wrapText="1"/>
    </xf>
    <xf numFmtId="0" fontId="5" fillId="0" borderId="0" xfId="0" applyFont="1" applyBorder="1" applyAlignment="1">
      <alignment horizontal="center"/>
    </xf>
    <xf numFmtId="0" fontId="22" fillId="0" borderId="0" xfId="0" applyFont="1" applyBorder="1" applyAlignment="1">
      <alignment horizontal="center"/>
    </xf>
    <xf numFmtId="0" fontId="4" fillId="0" borderId="34" xfId="0" applyFont="1" applyBorder="1" applyAlignment="1">
      <alignment horizontal="left" vertical="center"/>
    </xf>
    <xf numFmtId="0" fontId="4" fillId="0" borderId="5" xfId="0" applyFont="1" applyBorder="1" applyAlignment="1">
      <alignment horizontal="lef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53" xfId="0" applyFont="1" applyBorder="1" applyAlignment="1">
      <alignment horizontal="justify"/>
    </xf>
    <xf numFmtId="0" fontId="4" fillId="0" borderId="0" xfId="0" applyFont="1" applyBorder="1" applyAlignment="1">
      <alignment horizontal="justify"/>
    </xf>
    <xf numFmtId="0" fontId="4" fillId="0" borderId="46" xfId="0" applyFont="1" applyBorder="1" applyAlignment="1">
      <alignment horizontal="justify"/>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35" xfId="0" applyFont="1" applyBorder="1" applyAlignment="1">
      <alignment horizontal="center"/>
    </xf>
    <xf numFmtId="0" fontId="4" fillId="0" borderId="53" xfId="0" applyFont="1" applyBorder="1" applyAlignment="1">
      <alignment horizontal="right"/>
    </xf>
    <xf numFmtId="0" fontId="4" fillId="0" borderId="0" xfId="0" applyFont="1" applyBorder="1" applyAlignment="1">
      <alignment horizontal="right"/>
    </xf>
    <xf numFmtId="0" fontId="4" fillId="0" borderId="137" xfId="0" applyFont="1" applyBorder="1" applyAlignment="1">
      <alignment horizontal="left" wrapText="1"/>
    </xf>
    <xf numFmtId="0" fontId="4" fillId="0" borderId="5" xfId="0" applyFont="1" applyBorder="1" applyAlignment="1">
      <alignment horizontal="left" wrapText="1"/>
    </xf>
    <xf numFmtId="0" fontId="7" fillId="0" borderId="26" xfId="0" applyFont="1" applyBorder="1" applyAlignment="1">
      <alignment horizontal="center"/>
    </xf>
    <xf numFmtId="0" fontId="7" fillId="0" borderId="2" xfId="0" applyFont="1" applyBorder="1" applyAlignment="1">
      <alignment horizontal="center"/>
    </xf>
    <xf numFmtId="0" fontId="7" fillId="0" borderId="137" xfId="0" applyFont="1" applyBorder="1" applyAlignment="1">
      <alignment horizontal="center"/>
    </xf>
    <xf numFmtId="0" fontId="4" fillId="0" borderId="137" xfId="0" applyFont="1" applyBorder="1" applyAlignment="1">
      <alignment horizontal="left"/>
    </xf>
    <xf numFmtId="0" fontId="4" fillId="0" borderId="5" xfId="0" applyFont="1" applyBorder="1" applyAlignment="1">
      <alignment horizontal="left"/>
    </xf>
    <xf numFmtId="0" fontId="7" fillId="0" borderId="79" xfId="0" applyFont="1" applyBorder="1" applyAlignment="1">
      <alignment horizontal="center"/>
    </xf>
    <xf numFmtId="0" fontId="7" fillId="0" borderId="80" xfId="0" applyFont="1" applyBorder="1" applyAlignment="1">
      <alignment horizontal="center"/>
    </xf>
    <xf numFmtId="0" fontId="7" fillId="0" borderId="92" xfId="0" applyFont="1" applyBorder="1" applyAlignment="1">
      <alignment horizontal="center"/>
    </xf>
    <xf numFmtId="0" fontId="4" fillId="0" borderId="18" xfId="0" applyFont="1" applyBorder="1" applyAlignment="1">
      <alignment horizontal="left" wrapText="1"/>
    </xf>
    <xf numFmtId="0" fontId="4" fillId="0" borderId="13" xfId="0" applyFont="1" applyBorder="1" applyAlignment="1">
      <alignment horizontal="left" wrapText="1"/>
    </xf>
    <xf numFmtId="0" fontId="3" fillId="0" borderId="81" xfId="0" applyFont="1" applyBorder="1" applyAlignment="1">
      <alignment vertical="center"/>
    </xf>
    <xf numFmtId="0" fontId="3" fillId="0" borderId="88" xfId="0" applyFont="1" applyBorder="1" applyAlignment="1">
      <alignment vertical="center"/>
    </xf>
    <xf numFmtId="0" fontId="3" fillId="0" borderId="18" xfId="0" applyFont="1" applyBorder="1" applyAlignment="1">
      <alignment vertical="center"/>
    </xf>
    <xf numFmtId="0" fontId="7" fillId="0" borderId="8" xfId="0" applyFont="1" applyBorder="1" applyAlignment="1">
      <alignment horizontal="center"/>
    </xf>
    <xf numFmtId="0" fontId="7" fillId="0" borderId="88" xfId="0" applyFont="1" applyBorder="1" applyAlignment="1">
      <alignment horizontal="center"/>
    </xf>
    <xf numFmtId="0" fontId="7" fillId="0" borderId="18" xfId="0" applyFont="1" applyBorder="1" applyAlignment="1">
      <alignment horizontal="center"/>
    </xf>
    <xf numFmtId="0" fontId="4" fillId="0" borderId="11" xfId="0" applyFont="1" applyFill="1" applyBorder="1" applyAlignment="1">
      <alignment horizontal="left" vertical="center" wrapText="1"/>
    </xf>
    <xf numFmtId="0" fontId="4" fillId="0" borderId="148" xfId="0" applyFont="1" applyFill="1" applyBorder="1" applyAlignment="1">
      <alignment horizontal="left" vertical="center" wrapText="1"/>
    </xf>
    <xf numFmtId="167" fontId="7" fillId="0" borderId="11" xfId="0" applyNumberFormat="1" applyFont="1" applyFill="1" applyBorder="1" applyAlignment="1">
      <alignment horizontal="center" vertical="center" wrapText="1"/>
    </xf>
    <xf numFmtId="167" fontId="7" fillId="0" borderId="43" xfId="0" applyNumberFormat="1" applyFont="1" applyFill="1" applyBorder="1" applyAlignment="1">
      <alignment horizontal="center" vertical="center" wrapText="1"/>
    </xf>
    <xf numFmtId="167" fontId="7" fillId="0" borderId="10"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35" xfId="0" applyFont="1" applyBorder="1" applyAlignment="1">
      <alignment horizontal="center" vertical="center"/>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41" fontId="7" fillId="0" borderId="0" xfId="0" applyNumberFormat="1" applyFont="1" applyBorder="1" applyAlignment="1">
      <alignment horizontal="center"/>
    </xf>
    <xf numFmtId="0" fontId="7" fillId="0" borderId="0" xfId="0" applyFont="1" applyBorder="1" applyAlignment="1">
      <alignment horizontal="center"/>
    </xf>
    <xf numFmtId="166" fontId="7" fillId="0" borderId="0" xfId="5" applyFont="1" applyBorder="1" applyAlignment="1">
      <alignment horizontal="center" wrapText="1"/>
    </xf>
    <xf numFmtId="0" fontId="4" fillId="0" borderId="55" xfId="0" applyFont="1" applyBorder="1" applyAlignment="1">
      <alignment wrapText="1"/>
    </xf>
    <xf numFmtId="0" fontId="4" fillId="0" borderId="1" xfId="0" applyFont="1" applyBorder="1" applyAlignment="1">
      <alignment wrapText="1"/>
    </xf>
    <xf numFmtId="0" fontId="4" fillId="0" borderId="125" xfId="0" applyFont="1" applyBorder="1" applyAlignment="1">
      <alignment wrapText="1"/>
    </xf>
    <xf numFmtId="0" fontId="4" fillId="0" borderId="7" xfId="0" applyFont="1" applyBorder="1" applyAlignment="1">
      <alignment wrapText="1"/>
    </xf>
    <xf numFmtId="0" fontId="7" fillId="0" borderId="14" xfId="0" applyFont="1" applyBorder="1" applyAlignment="1">
      <alignment horizontal="center"/>
    </xf>
    <xf numFmtId="0" fontId="7" fillId="0" borderId="9" xfId="0" applyFont="1" applyBorder="1" applyAlignment="1">
      <alignment horizontal="center"/>
    </xf>
    <xf numFmtId="43" fontId="7" fillId="0" borderId="14" xfId="0" applyNumberFormat="1" applyFont="1" applyBorder="1" applyAlignment="1">
      <alignment horizontal="center" wrapText="1"/>
    </xf>
    <xf numFmtId="43" fontId="7" fillId="0" borderId="134" xfId="0" applyNumberFormat="1" applyFont="1" applyBorder="1" applyAlignment="1">
      <alignment horizontal="center" wrapText="1"/>
    </xf>
    <xf numFmtId="43" fontId="7" fillId="0" borderId="9" xfId="0" applyNumberFormat="1" applyFont="1" applyBorder="1" applyAlignment="1">
      <alignment horizontal="center" wrapText="1"/>
    </xf>
    <xf numFmtId="0" fontId="8" fillId="0" borderId="8" xfId="0" applyFont="1" applyBorder="1" applyAlignment="1">
      <alignment horizontal="center"/>
    </xf>
    <xf numFmtId="0" fontId="8" fillId="0" borderId="18" xfId="0" applyFont="1" applyBorder="1" applyAlignment="1">
      <alignment horizontal="center"/>
    </xf>
    <xf numFmtId="0" fontId="8" fillId="0" borderId="8" xfId="0" applyFont="1" applyBorder="1" applyAlignment="1">
      <alignment horizontal="center" wrapText="1"/>
    </xf>
    <xf numFmtId="0" fontId="8" fillId="0" borderId="88" xfId="0" applyFont="1" applyBorder="1" applyAlignment="1">
      <alignment horizontal="center" wrapText="1"/>
    </xf>
    <xf numFmtId="0" fontId="8" fillId="0" borderId="18" xfId="0" applyFont="1" applyBorder="1" applyAlignment="1">
      <alignment horizont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43" fontId="7" fillId="0" borderId="0" xfId="1" applyFont="1" applyBorder="1" applyAlignment="1">
      <alignment horizontal="center"/>
    </xf>
    <xf numFmtId="0" fontId="3" fillId="0" borderId="126" xfId="0" applyFont="1" applyBorder="1" applyAlignment="1">
      <alignment horizontal="center"/>
    </xf>
    <xf numFmtId="0" fontId="6" fillId="0" borderId="5" xfId="0" applyFont="1" applyBorder="1" applyAlignment="1">
      <alignment horizontal="center" vertical="center" wrapText="1"/>
    </xf>
    <xf numFmtId="0" fontId="3" fillId="0" borderId="65"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37" xfId="0" applyFont="1" applyBorder="1" applyAlignment="1">
      <alignment horizontal="center"/>
    </xf>
    <xf numFmtId="0" fontId="3" fillId="0" borderId="34" xfId="0" applyFont="1" applyBorder="1" applyAlignment="1">
      <alignment horizontal="center" vertical="center"/>
    </xf>
    <xf numFmtId="0" fontId="3" fillId="0" borderId="132" xfId="0" applyFont="1" applyBorder="1" applyAlignment="1">
      <alignment horizontal="center"/>
    </xf>
    <xf numFmtId="0" fontId="12" fillId="0" borderId="98" xfId="0" applyFont="1" applyBorder="1" applyAlignment="1">
      <alignment horizontal="center" vertical="center" wrapText="1"/>
    </xf>
    <xf numFmtId="0" fontId="12" fillId="0" borderId="133" xfId="0" applyFont="1" applyBorder="1" applyAlignment="1">
      <alignment horizontal="center" vertical="center" wrapText="1"/>
    </xf>
    <xf numFmtId="0" fontId="4" fillId="0" borderId="0" xfId="0" applyFont="1" applyBorder="1" applyAlignment="1">
      <alignment wrapText="1"/>
    </xf>
    <xf numFmtId="0" fontId="4" fillId="0" borderId="57" xfId="0" applyFont="1" applyBorder="1" applyAlignment="1">
      <alignment wrapText="1"/>
    </xf>
    <xf numFmtId="0" fontId="6" fillId="0" borderId="34" xfId="0" applyFont="1" applyBorder="1" applyAlignment="1">
      <alignment horizontal="center" vertical="center"/>
    </xf>
    <xf numFmtId="0" fontId="4" fillId="0" borderId="58" xfId="0" applyFont="1" applyBorder="1" applyAlignment="1">
      <alignment wrapText="1"/>
    </xf>
    <xf numFmtId="0" fontId="7" fillId="0" borderId="140" xfId="0" applyFont="1" applyBorder="1" applyAlignment="1">
      <alignment horizontal="justify" vertical="center"/>
    </xf>
    <xf numFmtId="0" fontId="7" fillId="0" borderId="36" xfId="0" applyFont="1" applyBorder="1" applyAlignment="1">
      <alignment horizontal="justify" vertical="center"/>
    </xf>
    <xf numFmtId="43" fontId="7" fillId="0" borderId="140" xfId="0" applyNumberFormat="1" applyFont="1" applyBorder="1" applyAlignment="1">
      <alignment horizontal="center" vertical="center" wrapText="1"/>
    </xf>
    <xf numFmtId="43" fontId="7" fillId="0" borderId="1" xfId="0" applyNumberFormat="1" applyFont="1" applyBorder="1" applyAlignment="1">
      <alignment horizontal="center" vertical="center" wrapText="1"/>
    </xf>
    <xf numFmtId="43" fontId="7" fillId="0" borderId="36" xfId="0" applyNumberFormat="1" applyFont="1" applyBorder="1" applyAlignment="1">
      <alignment horizontal="center" vertical="center" wrapText="1"/>
    </xf>
    <xf numFmtId="166" fontId="5" fillId="0" borderId="0" xfId="5" applyFont="1" applyBorder="1" applyAlignment="1">
      <alignment horizontal="center" wrapText="1"/>
    </xf>
    <xf numFmtId="41" fontId="5" fillId="0" borderId="110" xfId="2" applyFont="1" applyBorder="1" applyAlignment="1">
      <alignment horizontal="center" vertical="center" wrapText="1"/>
    </xf>
    <xf numFmtId="41" fontId="5" fillId="0" borderId="111" xfId="2" applyFont="1" applyBorder="1" applyAlignment="1">
      <alignment horizontal="center" vertical="center" wrapText="1"/>
    </xf>
    <xf numFmtId="41" fontId="5" fillId="0" borderId="105" xfId="2" applyFont="1" applyBorder="1" applyAlignment="1">
      <alignment horizontal="center" vertical="center" wrapText="1"/>
    </xf>
    <xf numFmtId="0" fontId="7" fillId="0" borderId="116" xfId="0" applyFont="1" applyBorder="1" applyAlignment="1">
      <alignment horizontal="center"/>
    </xf>
    <xf numFmtId="0" fontId="7" fillId="0" borderId="199" xfId="0" applyFont="1" applyBorder="1" applyAlignment="1">
      <alignment horizontal="center"/>
    </xf>
    <xf numFmtId="0" fontId="7" fillId="0" borderId="200" xfId="0" applyFont="1" applyBorder="1" applyAlignment="1">
      <alignment horizontal="center"/>
    </xf>
    <xf numFmtId="0" fontId="7" fillId="0" borderId="0" xfId="0" applyFont="1" applyBorder="1"/>
    <xf numFmtId="0" fontId="3" fillId="0" borderId="131" xfId="0" applyFont="1" applyBorder="1" applyAlignment="1">
      <alignment horizontal="right" vertical="center"/>
    </xf>
    <xf numFmtId="0" fontId="3" fillId="0" borderId="111" xfId="0" applyFont="1" applyBorder="1" applyAlignment="1">
      <alignment horizontal="right" vertical="center"/>
    </xf>
    <xf numFmtId="0" fontId="3" fillId="0" borderId="105" xfId="0" applyFont="1" applyBorder="1" applyAlignment="1">
      <alignment horizontal="right" vertical="center"/>
    </xf>
    <xf numFmtId="0" fontId="4" fillId="0" borderId="17" xfId="0" applyFont="1" applyBorder="1" applyAlignment="1">
      <alignment horizontal="left" vertical="center" wrapText="1"/>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3" fillId="0" borderId="150" xfId="0" applyFont="1" applyFill="1" applyBorder="1" applyAlignment="1">
      <alignment horizontal="left" vertical="center"/>
    </xf>
    <xf numFmtId="0" fontId="3" fillId="0" borderId="12" xfId="0" applyFont="1" applyFill="1" applyBorder="1" applyAlignment="1">
      <alignment horizontal="left" vertical="center" wrapText="1"/>
    </xf>
    <xf numFmtId="0" fontId="8" fillId="0" borderId="0" xfId="0" applyFont="1" applyBorder="1" applyAlignment="1">
      <alignment horizontal="center" vertical="center" wrapText="1"/>
    </xf>
    <xf numFmtId="0" fontId="8" fillId="0" borderId="107" xfId="0" applyFont="1" applyBorder="1" applyAlignment="1">
      <alignment horizontal="center" vertical="center" wrapText="1"/>
    </xf>
    <xf numFmtId="0" fontId="7" fillId="0" borderId="0" xfId="0" applyFont="1" applyAlignment="1">
      <alignment horizontal="center" wrapText="1"/>
    </xf>
    <xf numFmtId="0" fontId="3" fillId="3" borderId="65" xfId="0" applyFont="1" applyFill="1" applyBorder="1" applyAlignment="1">
      <alignment vertical="center"/>
    </xf>
    <xf numFmtId="0" fontId="3" fillId="3" borderId="3" xfId="0" applyFont="1" applyFill="1" applyBorder="1" applyAlignment="1">
      <alignment vertical="center"/>
    </xf>
    <xf numFmtId="0" fontId="3" fillId="3" borderId="38" xfId="0" applyFont="1" applyFill="1" applyBorder="1" applyAlignment="1">
      <alignment vertical="center"/>
    </xf>
    <xf numFmtId="167" fontId="5" fillId="3" borderId="138" xfId="0" applyNumberFormat="1" applyFont="1" applyFill="1" applyBorder="1" applyAlignment="1">
      <alignment horizontal="center"/>
    </xf>
    <xf numFmtId="167" fontId="5" fillId="3" borderId="3" xfId="0" applyNumberFormat="1" applyFont="1" applyFill="1" applyBorder="1" applyAlignment="1">
      <alignment horizontal="center"/>
    </xf>
    <xf numFmtId="167" fontId="5" fillId="3" borderId="38" xfId="0" applyNumberFormat="1" applyFont="1" applyFill="1" applyBorder="1" applyAlignment="1">
      <alignment horizontal="center"/>
    </xf>
    <xf numFmtId="0" fontId="4" fillId="0" borderId="56" xfId="0" applyFont="1" applyBorder="1" applyAlignment="1">
      <alignment horizontal="center" wrapText="1"/>
    </xf>
    <xf numFmtId="0" fontId="4" fillId="0" borderId="2" xfId="0" applyFont="1" applyBorder="1" applyAlignment="1">
      <alignment horizontal="center" wrapText="1"/>
    </xf>
    <xf numFmtId="0" fontId="4" fillId="0" borderId="4" xfId="0" applyFont="1" applyBorder="1" applyAlignment="1">
      <alignment horizontal="center" wrapText="1"/>
    </xf>
    <xf numFmtId="9" fontId="7" fillId="0" borderId="5" xfId="0" applyNumberFormat="1" applyFont="1" applyBorder="1" applyAlignment="1">
      <alignment horizontal="left" wrapText="1"/>
    </xf>
    <xf numFmtId="9" fontId="7" fillId="0" borderId="5" xfId="0" applyNumberFormat="1" applyFont="1" applyBorder="1" applyAlignment="1">
      <alignment horizontal="center"/>
    </xf>
    <xf numFmtId="0" fontId="7" fillId="0" borderId="5" xfId="0" applyFont="1" applyBorder="1" applyAlignment="1">
      <alignment horizontal="center"/>
    </xf>
    <xf numFmtId="0" fontId="7" fillId="0" borderId="35" xfId="0" applyFont="1" applyBorder="1" applyAlignment="1">
      <alignment horizontal="center"/>
    </xf>
    <xf numFmtId="0" fontId="4" fillId="0" borderId="53" xfId="0" applyFont="1" applyBorder="1" applyAlignment="1">
      <alignment horizontal="left" wrapText="1"/>
    </xf>
    <xf numFmtId="0" fontId="4" fillId="0" borderId="0" xfId="0" applyFont="1" applyBorder="1" applyAlignment="1">
      <alignment horizontal="left" wrapText="1"/>
    </xf>
    <xf numFmtId="0" fontId="4" fillId="0" borderId="57" xfId="0" applyFont="1" applyBorder="1" applyAlignment="1">
      <alignment horizontal="left" wrapText="1"/>
    </xf>
    <xf numFmtId="0" fontId="7" fillId="0" borderId="26" xfId="0" applyFont="1" applyBorder="1" applyAlignment="1">
      <alignment horizontal="left" wrapText="1"/>
    </xf>
    <xf numFmtId="0" fontId="7" fillId="0" borderId="2" xfId="0" applyFont="1" applyBorder="1" applyAlignment="1">
      <alignment horizontal="left" wrapText="1"/>
    </xf>
    <xf numFmtId="0" fontId="7" fillId="0" borderId="137" xfId="0" applyFont="1" applyBorder="1" applyAlignment="1">
      <alignment horizontal="left" wrapText="1"/>
    </xf>
    <xf numFmtId="9" fontId="7" fillId="0" borderId="5" xfId="0" applyNumberFormat="1" applyFont="1" applyBorder="1" applyAlignment="1">
      <alignment horizontal="center" vertical="center"/>
    </xf>
    <xf numFmtId="9" fontId="7" fillId="0" borderId="26"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37"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5" xfId="0" applyFont="1" applyBorder="1" applyAlignment="1">
      <alignment horizontal="center" vertical="center"/>
    </xf>
    <xf numFmtId="3" fontId="7" fillId="0" borderId="5" xfId="0" applyNumberFormat="1" applyFont="1" applyBorder="1" applyAlignment="1">
      <alignment horizontal="left" wrapText="1"/>
    </xf>
    <xf numFmtId="3" fontId="7" fillId="0" borderId="26" xfId="2" applyNumberFormat="1" applyFont="1" applyBorder="1" applyAlignment="1">
      <alignment horizontal="center" vertical="top" wrapText="1"/>
    </xf>
    <xf numFmtId="3" fontId="7" fillId="0" borderId="2" xfId="2" applyNumberFormat="1" applyFont="1" applyBorder="1" applyAlignment="1">
      <alignment horizontal="center" vertical="top" wrapText="1"/>
    </xf>
    <xf numFmtId="3" fontId="7" fillId="0" borderId="137" xfId="2" applyNumberFormat="1" applyFont="1" applyBorder="1" applyAlignment="1">
      <alignment horizontal="center" vertical="top" wrapText="1"/>
    </xf>
    <xf numFmtId="3" fontId="7" fillId="0" borderId="5" xfId="0" applyNumberFormat="1" applyFont="1" applyBorder="1" applyAlignment="1">
      <alignment horizontal="center"/>
    </xf>
    <xf numFmtId="3" fontId="7" fillId="0" borderId="35" xfId="0" applyNumberFormat="1" applyFont="1" applyBorder="1" applyAlignment="1">
      <alignment horizontal="center"/>
    </xf>
    <xf numFmtId="0" fontId="4" fillId="0" borderId="53" xfId="0" applyFont="1" applyBorder="1" applyAlignment="1">
      <alignment wrapText="1"/>
    </xf>
    <xf numFmtId="0" fontId="4" fillId="0" borderId="0" xfId="0" applyNumberFormat="1" applyFont="1" applyBorder="1" applyAlignment="1">
      <alignment horizontal="left" vertical="center" wrapText="1"/>
    </xf>
    <xf numFmtId="0" fontId="4" fillId="0" borderId="57" xfId="0" applyNumberFormat="1" applyFont="1" applyBorder="1" applyAlignment="1">
      <alignment horizontal="left" vertical="center" wrapText="1"/>
    </xf>
    <xf numFmtId="0" fontId="4" fillId="0" borderId="0" xfId="0" quotePrefix="1" applyNumberFormat="1" applyFont="1" applyBorder="1" applyAlignment="1">
      <alignment horizontal="left" wrapText="1"/>
    </xf>
    <xf numFmtId="0" fontId="4" fillId="0" borderId="0" xfId="0" applyNumberFormat="1" applyFont="1" applyBorder="1" applyAlignment="1">
      <alignment horizontal="left" wrapText="1"/>
    </xf>
    <xf numFmtId="0" fontId="4" fillId="0" borderId="57" xfId="0" applyNumberFormat="1" applyFont="1" applyBorder="1" applyAlignment="1">
      <alignment horizontal="left" wrapText="1"/>
    </xf>
    <xf numFmtId="0" fontId="3" fillId="0" borderId="56" xfId="0" applyFont="1" applyBorder="1" applyAlignment="1">
      <alignment horizontal="center" wrapText="1"/>
    </xf>
    <xf numFmtId="0" fontId="3" fillId="0" borderId="2" xfId="0" applyFont="1" applyBorder="1" applyAlignment="1">
      <alignment horizontal="center" wrapText="1"/>
    </xf>
    <xf numFmtId="0" fontId="3" fillId="0" borderId="37" xfId="0" applyFont="1" applyBorder="1" applyAlignment="1">
      <alignment horizontal="center" wrapText="1"/>
    </xf>
    <xf numFmtId="0" fontId="3" fillId="0" borderId="6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6" xfId="0" applyFont="1" applyBorder="1" applyAlignment="1">
      <alignment horizontal="center" wrapText="1"/>
    </xf>
    <xf numFmtId="0" fontId="3" fillId="0" borderId="137" xfId="0" applyFont="1" applyBorder="1" applyAlignment="1">
      <alignment horizontal="center" wrapText="1"/>
    </xf>
    <xf numFmtId="0" fontId="3" fillId="0" borderId="35" xfId="0" applyFont="1" applyBorder="1" applyAlignment="1">
      <alignment horizontal="center" wrapText="1"/>
    </xf>
    <xf numFmtId="0" fontId="4" fillId="0" borderId="0" xfId="0" applyFont="1" applyBorder="1" applyAlignment="1">
      <alignment horizontal="left" vertical="top"/>
    </xf>
    <xf numFmtId="0" fontId="4" fillId="0" borderId="57" xfId="0" applyFont="1" applyBorder="1" applyAlignment="1">
      <alignment horizontal="left" vertical="top"/>
    </xf>
    <xf numFmtId="0" fontId="4" fillId="0" borderId="53" xfId="0" applyFont="1" applyBorder="1" applyAlignment="1"/>
    <xf numFmtId="0" fontId="4" fillId="0" borderId="0" xfId="0" applyFont="1" applyBorder="1" applyAlignment="1"/>
    <xf numFmtId="0" fontId="4" fillId="0" borderId="0" xfId="0" applyFont="1" applyBorder="1" applyAlignment="1">
      <alignment horizontal="left" vertical="top" wrapText="1"/>
    </xf>
    <xf numFmtId="0" fontId="4" fillId="0" borderId="57" xfId="0" applyFont="1" applyBorder="1" applyAlignment="1">
      <alignment horizontal="left" vertical="top" wrapText="1"/>
    </xf>
    <xf numFmtId="0" fontId="4" fillId="0" borderId="0" xfId="0" applyFont="1" applyBorder="1" applyAlignment="1">
      <alignment horizontal="left" vertical="center" wrapText="1"/>
    </xf>
    <xf numFmtId="0" fontId="4" fillId="0" borderId="57" xfId="0" applyFont="1" applyBorder="1" applyAlignment="1">
      <alignment horizontal="left" vertical="center" wrapText="1"/>
    </xf>
    <xf numFmtId="0" fontId="12" fillId="0" borderId="142" xfId="0" applyFont="1" applyBorder="1" applyAlignment="1">
      <alignment horizontal="center" vertical="center" wrapText="1"/>
    </xf>
    <xf numFmtId="0" fontId="12" fillId="0" borderId="46" xfId="0" applyFont="1" applyBorder="1" applyAlignment="1">
      <alignment horizontal="center" vertical="center" wrapText="1"/>
    </xf>
    <xf numFmtId="9" fontId="7" fillId="0" borderId="26" xfId="0" applyNumberFormat="1" applyFont="1" applyBorder="1" applyAlignment="1">
      <alignment horizontal="center" wrapText="1"/>
    </xf>
    <xf numFmtId="9" fontId="7" fillId="0" borderId="2" xfId="0" applyNumberFormat="1" applyFont="1" applyBorder="1" applyAlignment="1">
      <alignment horizontal="center" wrapText="1"/>
    </xf>
    <xf numFmtId="9" fontId="7" fillId="0" borderId="37" xfId="0" applyNumberFormat="1" applyFont="1" applyBorder="1" applyAlignment="1">
      <alignment horizontal="center" wrapText="1"/>
    </xf>
    <xf numFmtId="9" fontId="7" fillId="0" borderId="5" xfId="0" applyNumberFormat="1" applyFont="1" applyBorder="1" applyAlignment="1">
      <alignment horizontal="left" vertical="center" wrapText="1"/>
    </xf>
    <xf numFmtId="0" fontId="5" fillId="0" borderId="163" xfId="0" applyFont="1" applyBorder="1" applyAlignment="1">
      <alignment horizontal="center" vertical="center" wrapText="1"/>
    </xf>
    <xf numFmtId="0" fontId="5" fillId="0" borderId="177" xfId="0" applyFont="1" applyBorder="1" applyAlignment="1">
      <alignment horizontal="center" vertical="center" wrapText="1"/>
    </xf>
    <xf numFmtId="0" fontId="5" fillId="3" borderId="138" xfId="0" applyFont="1" applyFill="1" applyBorder="1" applyAlignment="1">
      <alignment horizontal="center" vertical="center" wrapText="1"/>
    </xf>
    <xf numFmtId="0" fontId="5" fillId="3" borderId="163" xfId="0" applyFont="1" applyFill="1" applyBorder="1" applyAlignment="1">
      <alignment horizontal="center" vertical="center" wrapText="1"/>
    </xf>
    <xf numFmtId="0" fontId="5" fillId="3" borderId="136" xfId="0" applyFont="1" applyFill="1" applyBorder="1" applyAlignment="1">
      <alignment horizontal="center" vertical="center" wrapText="1"/>
    </xf>
    <xf numFmtId="0" fontId="5" fillId="3" borderId="177" xfId="0" applyFont="1" applyFill="1" applyBorder="1" applyAlignment="1">
      <alignment horizontal="center" vertical="center" wrapText="1"/>
    </xf>
    <xf numFmtId="0" fontId="4" fillId="0" borderId="137" xfId="0" applyFont="1" applyBorder="1" applyAlignment="1">
      <alignment horizontal="center" wrapText="1"/>
    </xf>
    <xf numFmtId="0" fontId="4" fillId="0" borderId="137" xfId="0" applyFont="1" applyBorder="1" applyAlignment="1">
      <alignment horizontal="center" vertical="center" wrapText="1"/>
    </xf>
    <xf numFmtId="0" fontId="5" fillId="0" borderId="138" xfId="0" applyFont="1" applyBorder="1" applyAlignment="1">
      <alignment horizontal="center"/>
    </xf>
    <xf numFmtId="0" fontId="12" fillId="0" borderId="163" xfId="0" applyFont="1" applyBorder="1" applyAlignment="1">
      <alignment horizontal="center" vertical="center" wrapText="1"/>
    </xf>
    <xf numFmtId="0" fontId="7" fillId="0" borderId="137" xfId="0" applyFont="1" applyBorder="1" applyAlignment="1">
      <alignment horizontal="left" vertical="center" wrapText="1"/>
    </xf>
    <xf numFmtId="0" fontId="4" fillId="0" borderId="56" xfId="0" applyFont="1" applyBorder="1" applyAlignment="1">
      <alignment horizontal="center" vertical="center"/>
    </xf>
    <xf numFmtId="0" fontId="4" fillId="0" borderId="2" xfId="0" applyFont="1" applyBorder="1" applyAlignment="1">
      <alignment horizontal="center" vertical="center"/>
    </xf>
    <xf numFmtId="0" fontId="4" fillId="0" borderId="137" xfId="0" applyFont="1" applyBorder="1" applyAlignment="1">
      <alignment horizontal="center" vertical="center"/>
    </xf>
    <xf numFmtId="0" fontId="7" fillId="0" borderId="90" xfId="0" applyFont="1" applyBorder="1" applyAlignment="1">
      <alignment horizontal="center" wrapText="1"/>
    </xf>
    <xf numFmtId="0" fontId="7" fillId="0" borderId="91" xfId="0" applyFont="1" applyBorder="1" applyAlignment="1">
      <alignment horizontal="center" wrapText="1"/>
    </xf>
    <xf numFmtId="0" fontId="7" fillId="0" borderId="135" xfId="0" applyFont="1" applyBorder="1" applyAlignment="1">
      <alignment horizontal="center" wrapText="1"/>
    </xf>
    <xf numFmtId="0" fontId="4" fillId="0" borderId="53" xfId="0" applyFont="1" applyBorder="1" applyAlignment="1">
      <alignment horizontal="justify" vertical="center"/>
    </xf>
    <xf numFmtId="0" fontId="4" fillId="0" borderId="0" xfId="0" applyFont="1" applyBorder="1" applyAlignment="1">
      <alignment horizontal="justify" vertical="center"/>
    </xf>
    <xf numFmtId="0" fontId="4" fillId="0" borderId="46" xfId="0" applyFont="1" applyBorder="1" applyAlignment="1">
      <alignment horizontal="justify" vertical="center"/>
    </xf>
    <xf numFmtId="0" fontId="4" fillId="0" borderId="137" xfId="0" applyFont="1" applyBorder="1" applyAlignment="1">
      <alignment horizontal="left" vertical="center" wrapText="1"/>
    </xf>
    <xf numFmtId="0" fontId="4" fillId="0" borderId="5" xfId="0" applyFont="1" applyBorder="1" applyAlignment="1">
      <alignment horizontal="left" vertical="center" wrapText="1"/>
    </xf>
    <xf numFmtId="0" fontId="7" fillId="0" borderId="26"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92" xfId="0" applyFont="1" applyBorder="1" applyAlignment="1">
      <alignment horizontal="center" vertical="center"/>
    </xf>
    <xf numFmtId="0" fontId="4" fillId="0" borderId="18" xfId="0" applyFont="1" applyBorder="1" applyAlignment="1">
      <alignment horizontal="left" vertical="center" wrapText="1"/>
    </xf>
    <xf numFmtId="0" fontId="4" fillId="0" borderId="13" xfId="0" applyFont="1" applyBorder="1" applyAlignment="1">
      <alignment horizontal="left" vertical="center" wrapText="1"/>
    </xf>
    <xf numFmtId="0" fontId="7" fillId="0" borderId="8" xfId="0" applyFont="1" applyBorder="1" applyAlignment="1">
      <alignment horizontal="center" vertical="center"/>
    </xf>
    <xf numFmtId="0" fontId="7" fillId="0" borderId="88" xfId="0" applyFont="1" applyBorder="1" applyAlignment="1">
      <alignment horizontal="center" vertical="center"/>
    </xf>
    <xf numFmtId="0" fontId="7" fillId="0" borderId="18" xfId="0" applyFont="1" applyBorder="1" applyAlignment="1">
      <alignment horizontal="center" vertical="center"/>
    </xf>
    <xf numFmtId="0" fontId="4" fillId="0" borderId="53" xfId="0" applyFont="1" applyBorder="1" applyAlignment="1">
      <alignment horizontal="right" vertical="center"/>
    </xf>
    <xf numFmtId="0" fontId="4" fillId="0" borderId="0" xfId="0" applyFont="1" applyBorder="1" applyAlignment="1">
      <alignment horizontal="right" vertical="center"/>
    </xf>
    <xf numFmtId="0" fontId="4" fillId="0" borderId="137" xfId="0" applyFont="1" applyBorder="1" applyAlignment="1">
      <alignment horizontal="left" vertical="center"/>
    </xf>
    <xf numFmtId="0" fontId="5" fillId="0" borderId="81"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18" xfId="0" applyFont="1" applyBorder="1" applyAlignment="1">
      <alignment horizontal="center" vertical="center" wrapText="1"/>
    </xf>
    <xf numFmtId="0" fontId="3" fillId="3" borderId="81" xfId="0" applyFont="1" applyFill="1" applyBorder="1" applyAlignment="1">
      <alignment vertical="center"/>
    </xf>
    <xf numFmtId="0" fontId="3" fillId="3" borderId="88" xfId="0" applyFont="1" applyFill="1" applyBorder="1" applyAlignment="1">
      <alignment vertical="center"/>
    </xf>
    <xf numFmtId="167" fontId="5" fillId="3" borderId="8" xfId="0" applyNumberFormat="1" applyFont="1" applyFill="1" applyBorder="1" applyAlignment="1">
      <alignment horizontal="center" vertical="center"/>
    </xf>
    <xf numFmtId="167" fontId="5" fillId="3" borderId="88" xfId="0" applyNumberFormat="1" applyFont="1" applyFill="1" applyBorder="1" applyAlignment="1">
      <alignment horizontal="center" vertical="center"/>
    </xf>
    <xf numFmtId="167" fontId="5" fillId="3" borderId="18" xfId="0" applyNumberFormat="1" applyFont="1" applyFill="1" applyBorder="1" applyAlignment="1">
      <alignment horizontal="center" vertical="center"/>
    </xf>
    <xf numFmtId="0" fontId="7" fillId="0" borderId="5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0" xfId="0" applyFont="1" applyBorder="1" applyAlignment="1">
      <alignment horizontal="center" vertical="center" wrapText="1"/>
    </xf>
    <xf numFmtId="0" fontId="5" fillId="0" borderId="0" xfId="0" applyFont="1" applyBorder="1" applyAlignment="1">
      <alignment horizontal="center" vertical="center"/>
    </xf>
    <xf numFmtId="0" fontId="22" fillId="0" borderId="0" xfId="0" applyFont="1" applyBorder="1" applyAlignment="1">
      <alignment horizontal="center" vertical="center"/>
    </xf>
    <xf numFmtId="0" fontId="3" fillId="0" borderId="140" xfId="0" applyFont="1" applyBorder="1" applyAlignment="1">
      <alignment horizontal="center" vertical="center" wrapText="1"/>
    </xf>
    <xf numFmtId="0" fontId="3" fillId="3" borderId="14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39" xfId="0" applyFont="1" applyBorder="1" applyAlignment="1">
      <alignment horizontal="center" vertical="center"/>
    </xf>
    <xf numFmtId="0" fontId="3" fillId="0" borderId="87"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4" fillId="0" borderId="53" xfId="0" applyFont="1" applyBorder="1" applyAlignment="1">
      <alignment horizontal="left" vertical="center" wrapText="1"/>
    </xf>
    <xf numFmtId="9" fontId="7" fillId="0" borderId="5" xfId="0" applyNumberFormat="1" applyFont="1" applyBorder="1" applyAlignment="1">
      <alignment horizontal="left" vertical="center"/>
    </xf>
    <xf numFmtId="3" fontId="7" fillId="0" borderId="5" xfId="0" applyNumberFormat="1" applyFont="1" applyBorder="1" applyAlignment="1">
      <alignment horizontal="left" vertical="center" wrapText="1"/>
    </xf>
    <xf numFmtId="3" fontId="7" fillId="0" borderId="26" xfId="2" applyNumberFormat="1" applyFont="1" applyBorder="1" applyAlignment="1">
      <alignment horizontal="center" vertical="center" wrapText="1"/>
    </xf>
    <xf numFmtId="3" fontId="7" fillId="0" borderId="2" xfId="2" applyNumberFormat="1" applyFont="1" applyBorder="1" applyAlignment="1">
      <alignment horizontal="center" vertical="center" wrapText="1"/>
    </xf>
    <xf numFmtId="3" fontId="7" fillId="0" borderId="137" xfId="2" applyNumberFormat="1" applyFont="1" applyBorder="1" applyAlignment="1">
      <alignment horizontal="center" vertical="center" wrapText="1"/>
    </xf>
    <xf numFmtId="3" fontId="7" fillId="0" borderId="5" xfId="0" applyNumberFormat="1" applyFont="1" applyBorder="1" applyAlignment="1">
      <alignment horizontal="center" vertical="center"/>
    </xf>
    <xf numFmtId="3" fontId="7" fillId="0" borderId="35" xfId="0" applyNumberFormat="1" applyFont="1" applyBorder="1" applyAlignment="1">
      <alignment horizontal="center" vertical="center"/>
    </xf>
    <xf numFmtId="0" fontId="4" fillId="0" borderId="53" xfId="0" applyFont="1" applyBorder="1" applyAlignment="1">
      <alignment vertical="center" wrapText="1"/>
    </xf>
    <xf numFmtId="0" fontId="4" fillId="0" borderId="0" xfId="0" applyFont="1" applyBorder="1" applyAlignment="1">
      <alignment vertical="center" wrapText="1"/>
    </xf>
    <xf numFmtId="0" fontId="4" fillId="0" borderId="0" xfId="0" quotePrefix="1" applyNumberFormat="1" applyFont="1" applyBorder="1" applyAlignment="1">
      <alignment horizontal="left" vertical="center" wrapText="1"/>
    </xf>
    <xf numFmtId="0" fontId="3" fillId="0" borderId="5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37"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0" xfId="0" applyFont="1" applyBorder="1" applyAlignment="1">
      <alignment horizontal="left" vertical="center"/>
    </xf>
    <xf numFmtId="0" fontId="4" fillId="0" borderId="57" xfId="0" applyFont="1" applyBorder="1" applyAlignment="1">
      <alignment horizontal="left" vertical="center"/>
    </xf>
    <xf numFmtId="0" fontId="4" fillId="0" borderId="53" xfId="0" applyFont="1" applyBorder="1" applyAlignment="1">
      <alignment vertical="center"/>
    </xf>
    <xf numFmtId="0" fontId="4" fillId="0" borderId="0" xfId="0" applyFont="1" applyBorder="1" applyAlignment="1">
      <alignment vertical="center"/>
    </xf>
    <xf numFmtId="0" fontId="3" fillId="0" borderId="104" xfId="0" applyFont="1" applyBorder="1" applyAlignment="1">
      <alignment horizontal="center" vertical="center"/>
    </xf>
    <xf numFmtId="0" fontId="3" fillId="0" borderId="78" xfId="0" applyFont="1" applyBorder="1" applyAlignment="1">
      <alignment horizontal="center" vertical="center"/>
    </xf>
    <xf numFmtId="0" fontId="3" fillId="0" borderId="6" xfId="0" applyFont="1" applyBorder="1" applyAlignment="1">
      <alignment horizontal="center" vertical="center"/>
    </xf>
    <xf numFmtId="0" fontId="3" fillId="0" borderId="130" xfId="0" applyFont="1" applyBorder="1" applyAlignment="1">
      <alignment horizontal="center" vertical="center"/>
    </xf>
    <xf numFmtId="0" fontId="4" fillId="0" borderId="125" xfId="0" applyFont="1" applyBorder="1" applyAlignment="1">
      <alignment horizontal="left" vertical="center" wrapText="1"/>
    </xf>
    <xf numFmtId="0" fontId="4" fillId="0" borderId="7" xfId="0" applyFont="1" applyBorder="1" applyAlignment="1">
      <alignment horizontal="left" vertical="center" wrapText="1"/>
    </xf>
    <xf numFmtId="0" fontId="4" fillId="0" borderId="104" xfId="0" applyFont="1" applyBorder="1" applyAlignment="1">
      <alignment horizontal="left" vertical="center" wrapText="1"/>
    </xf>
    <xf numFmtId="0" fontId="4" fillId="0" borderId="78" xfId="0" applyFont="1" applyBorder="1" applyAlignment="1">
      <alignment vertical="center" wrapText="1"/>
    </xf>
    <xf numFmtId="0" fontId="4" fillId="0" borderId="6" xfId="0" applyFont="1" applyBorder="1" applyAlignment="1">
      <alignment vertical="center" wrapText="1"/>
    </xf>
    <xf numFmtId="0" fontId="7" fillId="0" borderId="6" xfId="0" applyFont="1" applyBorder="1" applyAlignment="1">
      <alignment horizontal="left" vertical="center" wrapText="1"/>
    </xf>
    <xf numFmtId="0" fontId="7" fillId="0" borderId="130" xfId="0" applyFont="1" applyBorder="1" applyAlignment="1">
      <alignment horizontal="left" vertical="center" wrapText="1"/>
    </xf>
    <xf numFmtId="0" fontId="5" fillId="0" borderId="128" xfId="0" applyFont="1" applyBorder="1" applyAlignment="1">
      <alignment horizontal="center" vertical="center"/>
    </xf>
    <xf numFmtId="0" fontId="5" fillId="0" borderId="75" xfId="0" applyFont="1" applyBorder="1" applyAlignment="1">
      <alignment horizontal="center" vertical="center"/>
    </xf>
    <xf numFmtId="0" fontId="5" fillId="0" borderId="28" xfId="0" applyFont="1" applyBorder="1" applyAlignment="1">
      <alignment horizontal="center" vertical="center"/>
    </xf>
    <xf numFmtId="0" fontId="5" fillId="0" borderId="38" xfId="0" applyFont="1" applyBorder="1" applyAlignment="1">
      <alignment horizontal="center" vertical="center"/>
    </xf>
    <xf numFmtId="0" fontId="3" fillId="3" borderId="53" xfId="0" applyFont="1" applyFill="1" applyBorder="1" applyAlignment="1">
      <alignment vertical="center"/>
    </xf>
    <xf numFmtId="0" fontId="3" fillId="3" borderId="0" xfId="0" applyFont="1" applyFill="1" applyBorder="1" applyAlignment="1">
      <alignment vertical="center"/>
    </xf>
    <xf numFmtId="167" fontId="5" fillId="3" borderId="163" xfId="0" applyNumberFormat="1" applyFont="1" applyFill="1" applyBorder="1" applyAlignment="1">
      <alignment horizontal="center"/>
    </xf>
    <xf numFmtId="167" fontId="5" fillId="3" borderId="0" xfId="0" applyNumberFormat="1" applyFont="1" applyFill="1" applyBorder="1" applyAlignment="1">
      <alignment horizontal="center"/>
    </xf>
    <xf numFmtId="167" fontId="5" fillId="3" borderId="46" xfId="0" applyNumberFormat="1" applyFont="1" applyFill="1" applyBorder="1" applyAlignment="1">
      <alignment horizontal="center"/>
    </xf>
    <xf numFmtId="0" fontId="34" fillId="0" borderId="23" xfId="0" applyFont="1" applyBorder="1" applyAlignment="1">
      <alignment horizontal="center" vertical="center" wrapText="1"/>
    </xf>
    <xf numFmtId="0" fontId="34" fillId="0" borderId="142" xfId="0" applyFont="1" applyBorder="1" applyAlignment="1">
      <alignment horizontal="center" vertical="center" wrapText="1"/>
    </xf>
    <xf numFmtId="0" fontId="18" fillId="0" borderId="128" xfId="0" applyFont="1" applyBorder="1" applyAlignment="1">
      <alignment horizontal="center"/>
    </xf>
    <xf numFmtId="0" fontId="18" fillId="0" borderId="75" xfId="0" applyFont="1" applyBorder="1" applyAlignment="1">
      <alignment horizontal="center"/>
    </xf>
    <xf numFmtId="0" fontId="34" fillId="0" borderId="7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46" xfId="0" applyFont="1" applyBorder="1" applyAlignment="1">
      <alignment horizontal="center" vertical="center" wrapText="1"/>
    </xf>
    <xf numFmtId="0" fontId="18" fillId="0" borderId="28" xfId="0" applyFont="1" applyBorder="1" applyAlignment="1">
      <alignment horizontal="center"/>
    </xf>
    <xf numFmtId="0" fontId="18" fillId="0" borderId="38" xfId="0" applyFont="1" applyBorder="1" applyAlignment="1">
      <alignment horizontal="center"/>
    </xf>
    <xf numFmtId="0" fontId="34" fillId="0" borderId="39" xfId="0" applyFont="1" applyBorder="1" applyAlignment="1">
      <alignment horizontal="center" vertical="center" wrapText="1"/>
    </xf>
    <xf numFmtId="0" fontId="34" fillId="0" borderId="57" xfId="0" applyFont="1" applyBorder="1" applyAlignment="1">
      <alignment horizontal="center" vertical="center" wrapText="1"/>
    </xf>
    <xf numFmtId="0" fontId="19" fillId="0" borderId="125" xfId="0" applyFont="1" applyBorder="1" applyAlignment="1">
      <alignment horizontal="center"/>
    </xf>
    <xf numFmtId="0" fontId="19" fillId="0" borderId="7" xfId="0" applyFont="1" applyBorder="1" applyAlignment="1">
      <alignment horizontal="center"/>
    </xf>
    <xf numFmtId="0" fontId="19" fillId="0" borderId="104" xfId="0" applyFont="1" applyBorder="1" applyAlignment="1">
      <alignment horizontal="center"/>
    </xf>
    <xf numFmtId="0" fontId="19" fillId="0" borderId="78" xfId="0" applyFont="1" applyBorder="1" applyAlignment="1">
      <alignment horizontal="center"/>
    </xf>
    <xf numFmtId="0" fontId="19" fillId="0" borderId="6" xfId="0" applyFont="1" applyBorder="1" applyAlignment="1">
      <alignment horizontal="center"/>
    </xf>
    <xf numFmtId="0" fontId="19" fillId="0" borderId="130" xfId="0" applyFont="1" applyBorder="1" applyAlignment="1">
      <alignment horizontal="center"/>
    </xf>
    <xf numFmtId="0" fontId="21" fillId="0" borderId="125" xfId="0" applyFont="1" applyBorder="1" applyAlignment="1">
      <alignment horizontal="left" wrapText="1"/>
    </xf>
    <xf numFmtId="0" fontId="21" fillId="0" borderId="7" xfId="0" applyFont="1" applyBorder="1" applyAlignment="1">
      <alignment horizontal="left" wrapText="1"/>
    </xf>
    <xf numFmtId="0" fontId="21" fillId="0" borderId="104" xfId="0" applyFont="1" applyBorder="1" applyAlignment="1">
      <alignment horizontal="left" wrapText="1"/>
    </xf>
    <xf numFmtId="0" fontId="21" fillId="0" borderId="78" xfId="0" applyFont="1" applyBorder="1" applyAlignment="1">
      <alignment wrapText="1"/>
    </xf>
    <xf numFmtId="0" fontId="21" fillId="0" borderId="6" xfId="0" applyFont="1" applyBorder="1" applyAlignment="1">
      <alignment wrapText="1"/>
    </xf>
    <xf numFmtId="0" fontId="2" fillId="0" borderId="6" xfId="0" applyFont="1" applyBorder="1" applyAlignment="1">
      <alignment horizontal="left" wrapText="1"/>
    </xf>
    <xf numFmtId="0" fontId="2" fillId="0" borderId="130" xfId="0" applyFont="1" applyBorder="1" applyAlignment="1">
      <alignment horizontal="left" wrapText="1"/>
    </xf>
    <xf numFmtId="0" fontId="21" fillId="0" borderId="53"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57" xfId="0" applyFont="1" applyBorder="1" applyAlignment="1">
      <alignment horizontal="left" vertical="top"/>
    </xf>
    <xf numFmtId="0" fontId="21" fillId="0" borderId="53" xfId="0" applyFont="1" applyBorder="1" applyAlignment="1"/>
    <xf numFmtId="0" fontId="21" fillId="0" borderId="0" xfId="0" applyFont="1" applyBorder="1" applyAlignment="1"/>
    <xf numFmtId="0" fontId="21" fillId="0" borderId="0" xfId="0" applyFont="1" applyBorder="1" applyAlignment="1">
      <alignment horizontal="left" vertical="top" wrapText="1"/>
    </xf>
    <xf numFmtId="0" fontId="21" fillId="0" borderId="57" xfId="0" applyFont="1" applyBorder="1" applyAlignment="1">
      <alignment horizontal="left" vertical="top" wrapText="1"/>
    </xf>
    <xf numFmtId="0" fontId="21" fillId="0" borderId="0" xfId="0" applyFont="1" applyBorder="1" applyAlignment="1">
      <alignment horizontal="left" vertical="center" wrapText="1"/>
    </xf>
    <xf numFmtId="0" fontId="21" fillId="0" borderId="57" xfId="0" applyFont="1" applyBorder="1" applyAlignment="1">
      <alignment horizontal="left" vertical="center" wrapText="1"/>
    </xf>
    <xf numFmtId="0" fontId="19" fillId="0" borderId="6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6" xfId="0" applyFont="1" applyBorder="1" applyAlignment="1">
      <alignment horizontal="center" wrapText="1"/>
    </xf>
    <xf numFmtId="0" fontId="19" fillId="0" borderId="2" xfId="0" applyFont="1" applyBorder="1" applyAlignment="1">
      <alignment horizontal="center" wrapText="1"/>
    </xf>
    <xf numFmtId="0" fontId="19" fillId="0" borderId="137" xfId="0" applyFont="1" applyBorder="1" applyAlignment="1">
      <alignment horizontal="center" wrapText="1"/>
    </xf>
    <xf numFmtId="0" fontId="19" fillId="0" borderId="5" xfId="0" applyFont="1" applyBorder="1" applyAlignment="1">
      <alignment horizontal="center" wrapText="1"/>
    </xf>
    <xf numFmtId="0" fontId="19" fillId="0" borderId="35" xfId="0" applyFont="1" applyBorder="1" applyAlignment="1">
      <alignment horizontal="center" wrapText="1"/>
    </xf>
    <xf numFmtId="0" fontId="21" fillId="0" borderId="53" xfId="0" applyFont="1" applyBorder="1" applyAlignment="1">
      <alignment vertical="center" wrapText="1"/>
    </xf>
    <xf numFmtId="0" fontId="21" fillId="0" borderId="0" xfId="0" applyFont="1" applyBorder="1" applyAlignment="1">
      <alignment vertical="center" wrapText="1"/>
    </xf>
    <xf numFmtId="0" fontId="21" fillId="0" borderId="0" xfId="0" applyNumberFormat="1" applyFont="1" applyBorder="1" applyAlignment="1">
      <alignment horizontal="left" vertical="top" wrapText="1"/>
    </xf>
    <xf numFmtId="0" fontId="21" fillId="0" borderId="57" xfId="0" applyNumberFormat="1" applyFont="1" applyBorder="1" applyAlignment="1">
      <alignment horizontal="left" vertical="top" wrapText="1"/>
    </xf>
    <xf numFmtId="0" fontId="21" fillId="0" borderId="53" xfId="0" applyFont="1" applyBorder="1" applyAlignment="1">
      <alignment horizontal="left" wrapText="1"/>
    </xf>
    <xf numFmtId="0" fontId="21" fillId="0" borderId="0" xfId="0" applyFont="1" applyBorder="1" applyAlignment="1">
      <alignment horizontal="left" wrapText="1"/>
    </xf>
    <xf numFmtId="0" fontId="21" fillId="0" borderId="0" xfId="0" quotePrefix="1" applyNumberFormat="1" applyFont="1" applyBorder="1" applyAlignment="1">
      <alignment horizontal="left" wrapText="1"/>
    </xf>
    <xf numFmtId="0" fontId="21" fillId="0" borderId="0" xfId="0" applyNumberFormat="1" applyFont="1" applyBorder="1" applyAlignment="1">
      <alignment horizontal="left" wrapText="1"/>
    </xf>
    <xf numFmtId="0" fontId="21" fillId="0" borderId="57" xfId="0" applyNumberFormat="1" applyFont="1" applyBorder="1" applyAlignment="1">
      <alignment horizontal="left" wrapText="1"/>
    </xf>
    <xf numFmtId="0" fontId="19" fillId="0" borderId="56" xfId="0" applyFont="1" applyBorder="1" applyAlignment="1">
      <alignment horizontal="center" wrapText="1"/>
    </xf>
    <xf numFmtId="0" fontId="19" fillId="0" borderId="37" xfId="0" applyFont="1" applyBorder="1" applyAlignment="1">
      <alignment horizontal="center" wrapText="1"/>
    </xf>
    <xf numFmtId="0" fontId="2" fillId="0" borderId="26" xfId="0" applyFont="1" applyBorder="1" applyAlignment="1">
      <alignment horizontal="left" wrapText="1"/>
    </xf>
    <xf numFmtId="0" fontId="2" fillId="0" borderId="2" xfId="0" applyFont="1" applyBorder="1" applyAlignment="1">
      <alignment horizontal="left" wrapText="1"/>
    </xf>
    <xf numFmtId="0" fontId="2" fillId="0" borderId="137" xfId="0" applyFont="1" applyBorder="1" applyAlignment="1">
      <alignment horizontal="left" wrapText="1"/>
    </xf>
    <xf numFmtId="9" fontId="2" fillId="0" borderId="5" xfId="0" applyNumberFormat="1" applyFont="1" applyBorder="1" applyAlignment="1">
      <alignment horizontal="center"/>
    </xf>
    <xf numFmtId="0" fontId="2" fillId="0" borderId="5" xfId="0" applyFont="1" applyBorder="1" applyAlignment="1">
      <alignment horizontal="center"/>
    </xf>
    <xf numFmtId="9" fontId="2" fillId="0" borderId="26" xfId="0" applyNumberFormat="1" applyFont="1" applyBorder="1" applyAlignment="1">
      <alignment horizontal="center" wrapText="1"/>
    </xf>
    <xf numFmtId="9" fontId="2" fillId="0" borderId="2" xfId="0" applyNumberFormat="1" applyFont="1" applyBorder="1" applyAlignment="1">
      <alignment horizontal="center" wrapText="1"/>
    </xf>
    <xf numFmtId="9" fontId="2" fillId="0" borderId="37" xfId="0" applyNumberFormat="1" applyFont="1" applyBorder="1" applyAlignment="1">
      <alignment horizontal="center" wrapText="1"/>
    </xf>
    <xf numFmtId="0" fontId="21" fillId="0" borderId="5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9" fontId="2" fillId="0" borderId="5" xfId="0" applyNumberFormat="1" applyFont="1" applyBorder="1" applyAlignment="1">
      <alignment horizontal="left" vertical="center" wrapText="1"/>
    </xf>
    <xf numFmtId="0" fontId="2" fillId="0" borderId="35" xfId="0" applyFont="1" applyBorder="1" applyAlignment="1">
      <alignment horizontal="center"/>
    </xf>
    <xf numFmtId="0" fontId="21" fillId="0" borderId="56" xfId="0" applyFont="1" applyBorder="1" applyAlignment="1">
      <alignment horizontal="center" wrapText="1"/>
    </xf>
    <xf numFmtId="0" fontId="21" fillId="0" borderId="2" xfId="0" applyFont="1" applyBorder="1" applyAlignment="1">
      <alignment horizontal="center" wrapText="1"/>
    </xf>
    <xf numFmtId="0" fontId="21" fillId="0" borderId="4" xfId="0" applyFont="1" applyBorder="1" applyAlignment="1">
      <alignment horizontal="center" wrapText="1"/>
    </xf>
    <xf numFmtId="3" fontId="2" fillId="0" borderId="5" xfId="0" applyNumberFormat="1" applyFont="1" applyBorder="1" applyAlignment="1">
      <alignment horizontal="left" wrapText="1"/>
    </xf>
    <xf numFmtId="3" fontId="2" fillId="0" borderId="26" xfId="2" applyNumberFormat="1" applyFont="1" applyBorder="1" applyAlignment="1">
      <alignment horizontal="center" vertical="top" wrapText="1"/>
    </xf>
    <xf numFmtId="3" fontId="2" fillId="0" borderId="2" xfId="2" applyNumberFormat="1" applyFont="1" applyBorder="1" applyAlignment="1">
      <alignment horizontal="center" vertical="top" wrapText="1"/>
    </xf>
    <xf numFmtId="3" fontId="2" fillId="0" borderId="137" xfId="2" applyNumberFormat="1" applyFont="1" applyBorder="1" applyAlignment="1">
      <alignment horizontal="center" vertical="top" wrapText="1"/>
    </xf>
    <xf numFmtId="3" fontId="2" fillId="0" borderId="5" xfId="0" applyNumberFormat="1" applyFont="1" applyBorder="1" applyAlignment="1">
      <alignment horizontal="center"/>
    </xf>
    <xf numFmtId="3" fontId="2" fillId="0" borderId="35" xfId="0" applyNumberFormat="1" applyFont="1" applyBorder="1" applyAlignment="1">
      <alignment horizontal="center"/>
    </xf>
    <xf numFmtId="9" fontId="2" fillId="0" borderId="5" xfId="0" applyNumberFormat="1" applyFont="1" applyBorder="1" applyAlignment="1">
      <alignment horizontal="left" wrapText="1"/>
    </xf>
    <xf numFmtId="9"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1" fillId="0" borderId="57" xfId="0" applyFont="1" applyBorder="1" applyAlignment="1">
      <alignment horizontal="left" wrapText="1"/>
    </xf>
    <xf numFmtId="0" fontId="19" fillId="0" borderId="66"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8" fillId="0" borderId="12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40" xfId="0" applyFont="1" applyBorder="1" applyAlignment="1">
      <alignment horizontal="center" vertical="center" wrapText="1"/>
    </xf>
    <xf numFmtId="0" fontId="19" fillId="0" borderId="140" xfId="0" applyFont="1" applyBorder="1" applyAlignment="1">
      <alignment horizontal="center" wrapText="1"/>
    </xf>
    <xf numFmtId="0" fontId="19" fillId="0" borderId="1" xfId="0" applyFont="1" applyBorder="1" applyAlignment="1">
      <alignment horizontal="center" wrapText="1"/>
    </xf>
    <xf numFmtId="0" fontId="19" fillId="3" borderId="140" xfId="0" applyFont="1" applyFill="1" applyBorder="1" applyAlignment="1">
      <alignment horizontal="center" wrapText="1"/>
    </xf>
    <xf numFmtId="0" fontId="19" fillId="3" borderId="1" xfId="0" applyFont="1" applyFill="1" applyBorder="1" applyAlignment="1">
      <alignment horizontal="center" wrapText="1"/>
    </xf>
    <xf numFmtId="0" fontId="19" fillId="0" borderId="139" xfId="0" applyFont="1" applyBorder="1" applyAlignment="1">
      <alignment horizontal="center"/>
    </xf>
    <xf numFmtId="0" fontId="19" fillId="0" borderId="87" xfId="0" applyFont="1" applyBorder="1" applyAlignment="1">
      <alignment horizontal="center"/>
    </xf>
    <xf numFmtId="0" fontId="18" fillId="0" borderId="140" xfId="0" applyFont="1" applyBorder="1" applyAlignment="1">
      <alignment horizontal="center" wrapText="1"/>
    </xf>
    <xf numFmtId="0" fontId="18" fillId="0" borderId="1" xfId="0" applyFont="1" applyBorder="1" applyAlignment="1">
      <alignment horizontal="center" wrapText="1"/>
    </xf>
    <xf numFmtId="0" fontId="18" fillId="0" borderId="36" xfId="0" applyFont="1" applyBorder="1" applyAlignment="1">
      <alignment horizontal="center" wrapText="1"/>
    </xf>
    <xf numFmtId="0" fontId="18" fillId="3" borderId="140" xfId="0" applyFont="1" applyFill="1" applyBorder="1" applyAlignment="1">
      <alignment horizontal="center" wrapText="1"/>
    </xf>
    <xf numFmtId="0" fontId="18" fillId="3" borderId="1" xfId="0" applyFont="1" applyFill="1" applyBorder="1" applyAlignment="1">
      <alignment horizontal="center" wrapText="1"/>
    </xf>
    <xf numFmtId="0" fontId="18" fillId="3" borderId="36" xfId="0" applyFont="1" applyFill="1" applyBorder="1" applyAlignment="1">
      <alignment horizontal="center" wrapText="1"/>
    </xf>
    <xf numFmtId="0" fontId="18" fillId="0" borderId="5" xfId="0" applyFont="1" applyBorder="1" applyAlignment="1">
      <alignment horizontal="center" vertical="center"/>
    </xf>
    <xf numFmtId="0" fontId="18" fillId="0" borderId="35" xfId="0" applyFont="1" applyBorder="1" applyAlignment="1">
      <alignment horizontal="center" vertical="center"/>
    </xf>
    <xf numFmtId="0" fontId="18" fillId="0" borderId="138" xfId="0" applyFont="1" applyBorder="1" applyAlignment="1">
      <alignment horizontal="center" vertical="center" wrapText="1"/>
    </xf>
    <xf numFmtId="0" fontId="18" fillId="0" borderId="136"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139" xfId="0" applyFont="1" applyBorder="1" applyAlignment="1">
      <alignment horizontal="center" vertical="center" wrapText="1"/>
    </xf>
    <xf numFmtId="0" fontId="18" fillId="3" borderId="28"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140" xfId="0" applyFont="1" applyFill="1" applyBorder="1" applyAlignment="1">
      <alignment horizontal="center" vertical="center" wrapText="1"/>
    </xf>
    <xf numFmtId="0" fontId="18" fillId="3" borderId="76"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139" xfId="0" applyFont="1" applyFill="1" applyBorder="1" applyAlignment="1">
      <alignment horizontal="center" vertical="center" wrapText="1"/>
    </xf>
    <xf numFmtId="0" fontId="21" fillId="0" borderId="53" xfId="0" applyFont="1" applyBorder="1" applyAlignment="1">
      <alignment horizontal="justify"/>
    </xf>
    <xf numFmtId="0" fontId="21" fillId="0" borderId="0" xfId="0" applyFont="1" applyBorder="1" applyAlignment="1">
      <alignment horizontal="justify"/>
    </xf>
    <xf numFmtId="0" fontId="21" fillId="0" borderId="46" xfId="0" applyFont="1" applyBorder="1" applyAlignment="1">
      <alignment horizontal="justify"/>
    </xf>
    <xf numFmtId="0" fontId="19" fillId="0" borderId="5" xfId="0" applyFont="1" applyBorder="1" applyAlignment="1">
      <alignment horizontal="center"/>
    </xf>
    <xf numFmtId="0" fontId="19" fillId="0" borderId="35" xfId="0" applyFont="1" applyBorder="1" applyAlignment="1">
      <alignment horizontal="center"/>
    </xf>
    <xf numFmtId="0" fontId="18" fillId="0" borderId="81" xfId="0" applyFont="1" applyBorder="1" applyAlignment="1">
      <alignment horizontal="center" wrapText="1"/>
    </xf>
    <xf numFmtId="0" fontId="18" fillId="0" borderId="88" xfId="0" applyFont="1" applyBorder="1" applyAlignment="1">
      <alignment horizontal="center" wrapText="1"/>
    </xf>
    <xf numFmtId="0" fontId="18" fillId="0" borderId="18" xfId="0" applyFont="1" applyBorder="1" applyAlignment="1">
      <alignment horizontal="center" wrapText="1"/>
    </xf>
    <xf numFmtId="0" fontId="19" fillId="0" borderId="81" xfId="0" applyFont="1" applyBorder="1" applyAlignment="1">
      <alignment vertical="center"/>
    </xf>
    <xf numFmtId="0" fontId="19" fillId="0" borderId="88" xfId="0" applyFont="1" applyBorder="1" applyAlignment="1">
      <alignment vertical="center"/>
    </xf>
    <xf numFmtId="167" fontId="18" fillId="3" borderId="8" xfId="0" applyNumberFormat="1" applyFont="1" applyFill="1" applyBorder="1" applyAlignment="1">
      <alignment horizontal="center"/>
    </xf>
    <xf numFmtId="167" fontId="18" fillId="3" borderId="88" xfId="0" applyNumberFormat="1" applyFont="1" applyFill="1" applyBorder="1" applyAlignment="1">
      <alignment horizontal="center"/>
    </xf>
    <xf numFmtId="167" fontId="18" fillId="3" borderId="18" xfId="0" applyNumberFormat="1" applyFont="1" applyFill="1" applyBorder="1" applyAlignment="1">
      <alignment horizontal="center"/>
    </xf>
    <xf numFmtId="0" fontId="2" fillId="0" borderId="90" xfId="0" applyFont="1" applyBorder="1" applyAlignment="1">
      <alignment horizontal="center" wrapText="1"/>
    </xf>
    <xf numFmtId="0" fontId="2" fillId="0" borderId="91" xfId="0" applyFont="1" applyBorder="1" applyAlignment="1">
      <alignment horizontal="center" wrapText="1"/>
    </xf>
    <xf numFmtId="0" fontId="2" fillId="0" borderId="135" xfId="0" applyFont="1" applyBorder="1" applyAlignment="1">
      <alignment horizontal="center" wrapText="1"/>
    </xf>
    <xf numFmtId="0" fontId="2" fillId="0" borderId="3" xfId="0" applyFont="1" applyBorder="1" applyAlignment="1">
      <alignment horizontal="center" wrapText="1"/>
    </xf>
    <xf numFmtId="0" fontId="18" fillId="0" borderId="0" xfId="0" applyFont="1" applyBorder="1" applyAlignment="1">
      <alignment horizontal="center"/>
    </xf>
    <xf numFmtId="0" fontId="37" fillId="0" borderId="0" xfId="0" applyFont="1" applyBorder="1" applyAlignment="1">
      <alignment horizontal="center"/>
    </xf>
    <xf numFmtId="0" fontId="21" fillId="0" borderId="34" xfId="0" applyFont="1" applyBorder="1" applyAlignment="1">
      <alignment horizontal="left" vertical="center"/>
    </xf>
    <xf numFmtId="0" fontId="21" fillId="0" borderId="5" xfId="0" applyFont="1" applyBorder="1" applyAlignment="1">
      <alignment horizontal="left" vertical="center"/>
    </xf>
    <xf numFmtId="0" fontId="18" fillId="0" borderId="2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7" xfId="0" applyFont="1" applyBorder="1" applyAlignment="1">
      <alignment horizontal="center" vertical="center" wrapText="1"/>
    </xf>
    <xf numFmtId="0" fontId="21" fillId="0" borderId="53" xfId="0" applyFont="1" applyBorder="1" applyAlignment="1">
      <alignment horizontal="right"/>
    </xf>
    <xf numFmtId="0" fontId="21" fillId="0" borderId="0" xfId="0" applyFont="1" applyBorder="1" applyAlignment="1">
      <alignment horizontal="right"/>
    </xf>
    <xf numFmtId="0" fontId="21" fillId="0" borderId="137" xfId="0" applyFont="1" applyBorder="1" applyAlignment="1">
      <alignment horizontal="left" wrapText="1"/>
    </xf>
    <xf numFmtId="0" fontId="21" fillId="0" borderId="5" xfId="0" applyFont="1" applyBorder="1" applyAlignment="1">
      <alignment horizontal="left" wrapText="1"/>
    </xf>
    <xf numFmtId="0" fontId="2" fillId="0" borderId="26" xfId="0" applyFont="1" applyBorder="1" applyAlignment="1">
      <alignment horizontal="center"/>
    </xf>
    <xf numFmtId="0" fontId="2" fillId="0" borderId="2" xfId="0" applyFont="1" applyBorder="1" applyAlignment="1">
      <alignment horizontal="center"/>
    </xf>
    <xf numFmtId="0" fontId="2" fillId="0" borderId="137" xfId="0" applyFont="1" applyBorder="1" applyAlignment="1">
      <alignment horizontal="center"/>
    </xf>
    <xf numFmtId="0" fontId="21" fillId="0" borderId="137" xfId="0" applyFont="1" applyBorder="1" applyAlignment="1">
      <alignment horizontal="left"/>
    </xf>
    <xf numFmtId="0" fontId="21" fillId="0" borderId="5" xfId="0" applyFont="1" applyBorder="1" applyAlignment="1">
      <alignment horizontal="left"/>
    </xf>
    <xf numFmtId="0" fontId="2" fillId="0" borderId="79" xfId="0" applyFont="1" applyBorder="1" applyAlignment="1">
      <alignment horizontal="center"/>
    </xf>
    <xf numFmtId="0" fontId="2" fillId="0" borderId="80" xfId="0" applyFont="1" applyBorder="1" applyAlignment="1">
      <alignment horizontal="center"/>
    </xf>
    <xf numFmtId="0" fontId="2" fillId="0" borderId="92" xfId="0" applyFont="1" applyBorder="1" applyAlignment="1">
      <alignment horizontal="center"/>
    </xf>
    <xf numFmtId="0" fontId="21" fillId="0" borderId="18" xfId="0" applyFont="1" applyBorder="1" applyAlignment="1">
      <alignment horizontal="left" wrapText="1"/>
    </xf>
    <xf numFmtId="0" fontId="21" fillId="0" borderId="13" xfId="0" applyFont="1" applyBorder="1" applyAlignment="1">
      <alignment horizontal="left" wrapText="1"/>
    </xf>
    <xf numFmtId="0" fontId="2" fillId="0" borderId="8" xfId="0" applyFont="1" applyBorder="1" applyAlignment="1">
      <alignment horizontal="center"/>
    </xf>
    <xf numFmtId="0" fontId="2" fillId="0" borderId="88" xfId="0" applyFont="1" applyBorder="1" applyAlignment="1">
      <alignment horizontal="center"/>
    </xf>
    <xf numFmtId="0" fontId="2" fillId="0" borderId="18" xfId="0" applyFont="1" applyBorder="1" applyAlignment="1">
      <alignment horizontal="center"/>
    </xf>
    <xf numFmtId="0" fontId="5" fillId="0" borderId="138" xfId="0" applyFont="1" applyBorder="1" applyAlignment="1">
      <alignment horizontal="center" vertical="center"/>
    </xf>
    <xf numFmtId="0" fontId="4" fillId="0" borderId="0" xfId="0" applyNumberFormat="1" applyFont="1" applyBorder="1" applyAlignment="1">
      <alignment horizontal="left" vertical="top" wrapText="1"/>
    </xf>
    <xf numFmtId="0" fontId="4" fillId="0" borderId="57" xfId="0" applyNumberFormat="1" applyFont="1" applyBorder="1" applyAlignment="1">
      <alignment horizontal="left" vertical="top" wrapText="1"/>
    </xf>
    <xf numFmtId="3" fontId="7" fillId="0" borderId="0" xfId="9" applyNumberFormat="1" applyFont="1" applyBorder="1" applyAlignment="1"/>
    <xf numFmtId="0" fontId="28" fillId="0" borderId="0" xfId="0" applyFont="1" applyAlignment="1">
      <alignment horizontal="center"/>
    </xf>
  </cellXfs>
  <cellStyles count="14">
    <cellStyle name="Comma" xfId="1" builtinId="3"/>
    <cellStyle name="Comma [0]" xfId="2" builtinId="6"/>
    <cellStyle name="Comma [0] 2" xfId="3"/>
    <cellStyle name="Comma [0] 2 2" xfId="12"/>
    <cellStyle name="Comma 2" xfId="4"/>
    <cellStyle name="Comma 2 2" xfId="11"/>
    <cellStyle name="Currency [0]" xfId="5" builtinId="7"/>
    <cellStyle name="Currency [0] 2" xfId="6"/>
    <cellStyle name="Hyperlink" xfId="7" builtinId="8"/>
    <cellStyle name="Normal" xfId="0" builtinId="0"/>
    <cellStyle name="Normal 2" xfId="8"/>
    <cellStyle name="Normal 3 2" xfId="13"/>
    <cellStyle name="Normal_Form RKA" xfId="9"/>
    <cellStyle name="Normal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 Type="http://schemas.openxmlformats.org/officeDocument/2006/relationships/worksheet" Target="worksheets/sheet2.xml"/><Relationship Id="rId21" Type="http://schemas.openxmlformats.org/officeDocument/2006/relationships/worksheet" Target="worksheets/sheet20.xml"/><Relationship Id="rId34" Type="http://schemas.openxmlformats.org/officeDocument/2006/relationships/styles" Target="styles.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worksheet" Target="worksheets/sheet28.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worksheet" Target="worksheets/sheet23.xml"/><Relationship Id="rId32" Type="http://schemas.openxmlformats.org/officeDocument/2006/relationships/worksheet" Target="worksheets/sheet31.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worksheet" Target="worksheets/sheet30.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haredStrings" Target="sharedStrings.xml"/><Relationship Id="rId8" Type="http://schemas.openxmlformats.org/officeDocument/2006/relationships/worksheet" Target="worksheets/sheet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7849017580145"/>
          <c:y val="3.5593220338983052E-2"/>
          <c:w val="0.81592554291623576"/>
          <c:h val="0.89491525423728813"/>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'RECAP APBD'!$B$21:$S$21</c:f>
              <c:numCache>
                <c:formatCode>General</c:formatCode>
                <c:ptCount val="18"/>
                <c:pt idx="0">
                  <c:v>5</c:v>
                </c:pt>
                <c:pt idx="9">
                  <c:v>0</c:v>
                </c:pt>
                <c:pt idx="14" formatCode="_(* #,##0_);_(* \(#,##0\);_(* &quot;-&quot;??_);_(@_)">
                  <c:v>9418878620</c:v>
                </c:pt>
                <c:pt idx="15" formatCode="_(* #,##0_);_(* \(#,##0\);_(* &quot;-&quot;??_);_(@_)">
                  <c:v>8449917287</c:v>
                </c:pt>
                <c:pt idx="16" formatCode="_(* #,##0_);_(* \(#,##0\);_(* &quot;-&quot;??_);_(@_)">
                  <c:v>-968961333</c:v>
                </c:pt>
                <c:pt idx="17" formatCode="0.00">
                  <c:v>-10.287438368114357</c:v>
                </c:pt>
              </c:numCache>
            </c:numRef>
          </c:val>
          <c:extLst>
            <c:ext xmlns:c16="http://schemas.microsoft.com/office/drawing/2014/chart" uri="{C3380CC4-5D6E-409C-BE32-E72D297353CC}">
              <c16:uniqueId val="{00000000-5542-4149-B2CA-C0BBFECF5FDC}"/>
            </c:ext>
          </c:extLst>
        </c:ser>
        <c:ser>
          <c:idx val="1"/>
          <c:order val="1"/>
          <c:spPr>
            <a:solidFill>
              <a:srgbClr val="993366"/>
            </a:solidFill>
            <a:ln w="12700">
              <a:solidFill>
                <a:srgbClr val="000000"/>
              </a:solidFill>
              <a:prstDash val="solid"/>
            </a:ln>
          </c:spPr>
          <c:invertIfNegative val="0"/>
          <c:val>
            <c:numRef>
              <c:f>'RECAP APBD'!$B$22:$S$22</c:f>
              <c:numCache>
                <c:formatCode>General</c:formatCode>
                <c:ptCount val="18"/>
                <c:pt idx="0">
                  <c:v>5</c:v>
                </c:pt>
                <c:pt idx="3">
                  <c:v>1</c:v>
                </c:pt>
                <c:pt idx="9">
                  <c:v>0</c:v>
                </c:pt>
                <c:pt idx="14" formatCode="_(* #,##0_);_(* \(#,##0\);_(* &quot;-&quot;??_);_(@_)">
                  <c:v>3410148230</c:v>
                </c:pt>
                <c:pt idx="15" formatCode="_(* #,##0_);_(* \(#,##0\);_(* &quot;-&quot;??_);_(@_)">
                  <c:v>3420394439</c:v>
                </c:pt>
                <c:pt idx="16" formatCode="_(* #,##0_);_(* \(#,##0\);_(* &quot;-&quot;??_);_(@_)">
                  <c:v>10246209</c:v>
                </c:pt>
                <c:pt idx="17" formatCode="0.00">
                  <c:v>0.30046227638614992</c:v>
                </c:pt>
              </c:numCache>
            </c:numRef>
          </c:val>
          <c:extLst>
            <c:ext xmlns:c16="http://schemas.microsoft.com/office/drawing/2014/chart" uri="{C3380CC4-5D6E-409C-BE32-E72D297353CC}">
              <c16:uniqueId val="{00000001-5542-4149-B2CA-C0BBFECF5FDC}"/>
            </c:ext>
          </c:extLst>
        </c:ser>
        <c:ser>
          <c:idx val="2"/>
          <c:order val="2"/>
          <c:spPr>
            <a:solidFill>
              <a:srgbClr val="FFFFCC"/>
            </a:solidFill>
            <a:ln w="12700">
              <a:solidFill>
                <a:srgbClr val="000000"/>
              </a:solidFill>
              <a:prstDash val="solid"/>
            </a:ln>
          </c:spPr>
          <c:invertIfNegative val="0"/>
          <c:val>
            <c:numRef>
              <c:f>'RECAP APBD'!$B$23:$S$23</c:f>
              <c:numCache>
                <c:formatCode>General</c:formatCode>
                <c:ptCount val="18"/>
                <c:pt idx="0">
                  <c:v>5</c:v>
                </c:pt>
                <c:pt idx="3">
                  <c:v>1</c:v>
                </c:pt>
                <c:pt idx="6">
                  <c:v>1</c:v>
                </c:pt>
                <c:pt idx="9">
                  <c:v>0</c:v>
                </c:pt>
                <c:pt idx="14" formatCode="_(* #,##0_);_(* \(#,##0\);_(* &quot;-&quot;_);_(@_)">
                  <c:v>3410148230</c:v>
                </c:pt>
                <c:pt idx="15" formatCode="_(* #,##0_);_(* \(#,##0\);_(* &quot;-&quot;_);_(@_)">
                  <c:v>3420394439</c:v>
                </c:pt>
                <c:pt idx="16" formatCode="_(* #,##0_);_(* \(#,##0\);_(* &quot;-&quot;??_);_(@_)">
                  <c:v>10246209</c:v>
                </c:pt>
                <c:pt idx="17" formatCode="0.00">
                  <c:v>0.30046227638614992</c:v>
                </c:pt>
              </c:numCache>
            </c:numRef>
          </c:val>
          <c:extLst>
            <c:ext xmlns:c16="http://schemas.microsoft.com/office/drawing/2014/chart" uri="{C3380CC4-5D6E-409C-BE32-E72D297353CC}">
              <c16:uniqueId val="{00000002-5542-4149-B2CA-C0BBFECF5FDC}"/>
            </c:ext>
          </c:extLst>
        </c:ser>
        <c:ser>
          <c:idx val="3"/>
          <c:order val="3"/>
          <c:spPr>
            <a:solidFill>
              <a:srgbClr val="CCFFFF"/>
            </a:solidFill>
            <a:ln w="12700">
              <a:solidFill>
                <a:srgbClr val="000000"/>
              </a:solidFill>
              <a:prstDash val="solid"/>
            </a:ln>
          </c:spPr>
          <c:invertIfNegative val="0"/>
          <c:val>
            <c:numRef>
              <c:f>'RECAP APBD'!$B$24:$S$24</c:f>
              <c:numCache>
                <c:formatCode>General</c:formatCode>
                <c:ptCount val="18"/>
                <c:pt idx="0">
                  <c:v>5</c:v>
                </c:pt>
                <c:pt idx="3">
                  <c:v>2</c:v>
                </c:pt>
                <c:pt idx="9">
                  <c:v>0</c:v>
                </c:pt>
                <c:pt idx="14" formatCode="_(* #,##0_);_(* \(#,##0\);_(* &quot;-&quot;??_);_(@_)">
                  <c:v>6008730390</c:v>
                </c:pt>
                <c:pt idx="15" formatCode="_(* #,##0_);_(* \(#,##0\);_(* &quot;-&quot;??_);_(@_)">
                  <c:v>5029522848</c:v>
                </c:pt>
                <c:pt idx="16" formatCode="_(* #,##0_);_(* \(#,##0\);_(* &quot;-&quot;??_);_(@_)">
                  <c:v>-979207542</c:v>
                </c:pt>
                <c:pt idx="17" formatCode="0.00">
                  <c:v>-16.296413359295357</c:v>
                </c:pt>
              </c:numCache>
            </c:numRef>
          </c:val>
          <c:extLst>
            <c:ext xmlns:c16="http://schemas.microsoft.com/office/drawing/2014/chart" uri="{C3380CC4-5D6E-409C-BE32-E72D297353CC}">
              <c16:uniqueId val="{00000003-5542-4149-B2CA-C0BBFECF5FDC}"/>
            </c:ext>
          </c:extLst>
        </c:ser>
        <c:ser>
          <c:idx val="4"/>
          <c:order val="4"/>
          <c:spPr>
            <a:solidFill>
              <a:srgbClr val="660066"/>
            </a:solidFill>
            <a:ln w="12700">
              <a:solidFill>
                <a:srgbClr val="000000"/>
              </a:solidFill>
              <a:prstDash val="solid"/>
            </a:ln>
          </c:spPr>
          <c:invertIfNegative val="0"/>
          <c:val>
            <c:numRef>
              <c:f>'RECAP APBD'!$B$25:$S$25</c:f>
              <c:numCache>
                <c:formatCode>General</c:formatCode>
                <c:ptCount val="18"/>
                <c:pt idx="0">
                  <c:v>5</c:v>
                </c:pt>
                <c:pt idx="3">
                  <c:v>2</c:v>
                </c:pt>
                <c:pt idx="6">
                  <c:v>1</c:v>
                </c:pt>
                <c:pt idx="9">
                  <c:v>0</c:v>
                </c:pt>
                <c:pt idx="14" formatCode="_(* #,##0_);_(* \(#,##0\);_(* &quot;-&quot;_);_(@_)">
                  <c:v>712615000</c:v>
                </c:pt>
                <c:pt idx="15" formatCode="_(* #,##0_);_(* \(#,##0\);_(* &quot;-&quot;_);_(@_)">
                  <c:v>511350000</c:v>
                </c:pt>
              </c:numCache>
            </c:numRef>
          </c:val>
          <c:extLst>
            <c:ext xmlns:c16="http://schemas.microsoft.com/office/drawing/2014/chart" uri="{C3380CC4-5D6E-409C-BE32-E72D297353CC}">
              <c16:uniqueId val="{00000004-5542-4149-B2CA-C0BBFECF5FDC}"/>
            </c:ext>
          </c:extLst>
        </c:ser>
        <c:ser>
          <c:idx val="5"/>
          <c:order val="5"/>
          <c:spPr>
            <a:solidFill>
              <a:srgbClr val="FF8080"/>
            </a:solidFill>
            <a:ln w="12700">
              <a:solidFill>
                <a:srgbClr val="000000"/>
              </a:solidFill>
              <a:prstDash val="solid"/>
            </a:ln>
          </c:spPr>
          <c:invertIfNegative val="0"/>
          <c:val>
            <c:numRef>
              <c:f>'RECAP APBD'!$B$26:$S$26</c:f>
              <c:numCache>
                <c:formatCode>General</c:formatCode>
                <c:ptCount val="18"/>
                <c:pt idx="0">
                  <c:v>5</c:v>
                </c:pt>
                <c:pt idx="3">
                  <c:v>2</c:v>
                </c:pt>
                <c:pt idx="6">
                  <c:v>2</c:v>
                </c:pt>
                <c:pt idx="9">
                  <c:v>0</c:v>
                </c:pt>
                <c:pt idx="14" formatCode="_(* #,##0_);_(* \(#,##0\);_(* &quot;-&quot;_);_(@_)">
                  <c:v>3492940390</c:v>
                </c:pt>
                <c:pt idx="15" formatCode="_(* #,##0_);_(* \(#,##0\);_(* &quot;-&quot;_);_(@_)">
                  <c:v>2980492006</c:v>
                </c:pt>
              </c:numCache>
            </c:numRef>
          </c:val>
          <c:extLst>
            <c:ext xmlns:c16="http://schemas.microsoft.com/office/drawing/2014/chart" uri="{C3380CC4-5D6E-409C-BE32-E72D297353CC}">
              <c16:uniqueId val="{00000005-5542-4149-B2CA-C0BBFECF5FDC}"/>
            </c:ext>
          </c:extLst>
        </c:ser>
        <c:ser>
          <c:idx val="6"/>
          <c:order val="6"/>
          <c:spPr>
            <a:solidFill>
              <a:srgbClr val="0066CC"/>
            </a:solidFill>
            <a:ln w="12700">
              <a:solidFill>
                <a:srgbClr val="000000"/>
              </a:solidFill>
              <a:prstDash val="solid"/>
            </a:ln>
          </c:spPr>
          <c:invertIfNegative val="0"/>
          <c:val>
            <c:numRef>
              <c:f>'RECAP APBD'!$B$27:$S$27</c:f>
              <c:numCache>
                <c:formatCode>General</c:formatCode>
                <c:ptCount val="18"/>
                <c:pt idx="0">
                  <c:v>5</c:v>
                </c:pt>
                <c:pt idx="3">
                  <c:v>2</c:v>
                </c:pt>
                <c:pt idx="6">
                  <c:v>3</c:v>
                </c:pt>
                <c:pt idx="9">
                  <c:v>0</c:v>
                </c:pt>
                <c:pt idx="14" formatCode="_(* #,##0_);_(* \(#,##0\);_(* &quot;-&quot;_);_(@_)">
                  <c:v>1803175000</c:v>
                </c:pt>
                <c:pt idx="15" formatCode="_(* #,##0_);_(* \(#,##0\);_(* &quot;-&quot;_);_(@_)">
                  <c:v>1537680842</c:v>
                </c:pt>
              </c:numCache>
            </c:numRef>
          </c:val>
          <c:extLst>
            <c:ext xmlns:c16="http://schemas.microsoft.com/office/drawing/2014/chart" uri="{C3380CC4-5D6E-409C-BE32-E72D297353CC}">
              <c16:uniqueId val="{00000006-5542-4149-B2CA-C0BBFECF5FDC}"/>
            </c:ext>
          </c:extLst>
        </c:ser>
        <c:ser>
          <c:idx val="7"/>
          <c:order val="7"/>
          <c:spPr>
            <a:solidFill>
              <a:srgbClr val="CCCCFF"/>
            </a:solidFill>
            <a:ln w="12700">
              <a:solidFill>
                <a:srgbClr val="000000"/>
              </a:solidFill>
              <a:prstDash val="solid"/>
            </a:ln>
          </c:spPr>
          <c:invertIfNegative val="0"/>
          <c:val>
            <c:numRef>
              <c:f>'RECAP APBD'!$B$28:$S$28</c:f>
              <c:numCache>
                <c:formatCode>General</c:formatCode>
                <c:ptCount val="18"/>
              </c:numCache>
            </c:numRef>
          </c:val>
          <c:extLst>
            <c:ext xmlns:c16="http://schemas.microsoft.com/office/drawing/2014/chart" uri="{C3380CC4-5D6E-409C-BE32-E72D297353CC}">
              <c16:uniqueId val="{00000007-5542-4149-B2CA-C0BBFECF5FDC}"/>
            </c:ext>
          </c:extLst>
        </c:ser>
        <c:dLbls>
          <c:showLegendKey val="0"/>
          <c:showVal val="0"/>
          <c:showCatName val="0"/>
          <c:showSerName val="0"/>
          <c:showPercent val="0"/>
          <c:showBubbleSize val="0"/>
        </c:dLbls>
        <c:gapWidth val="150"/>
        <c:axId val="-1394034544"/>
        <c:axId val="-1394034000"/>
      </c:barChart>
      <c:catAx>
        <c:axId val="-139403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Arial"/>
                <a:ea typeface="Arial"/>
                <a:cs typeface="Arial"/>
              </a:defRPr>
            </a:pPr>
            <a:endParaRPr lang="id-ID"/>
          </a:p>
        </c:txPr>
        <c:crossAx val="-1394034000"/>
        <c:crosses val="autoZero"/>
        <c:auto val="1"/>
        <c:lblAlgn val="ctr"/>
        <c:lblOffset val="100"/>
        <c:tickLblSkip val="1"/>
        <c:tickMarkSkip val="1"/>
        <c:noMultiLvlLbl val="0"/>
      </c:catAx>
      <c:valAx>
        <c:axId val="-13940340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Arial"/>
                <a:ea typeface="Arial"/>
                <a:cs typeface="Arial"/>
              </a:defRPr>
            </a:pPr>
            <a:endParaRPr lang="id-ID"/>
          </a:p>
        </c:txPr>
        <c:crossAx val="-1394034544"/>
        <c:crosses val="autoZero"/>
        <c:crossBetween val="between"/>
      </c:valAx>
      <c:spPr>
        <a:solidFill>
          <a:srgbClr val="C0C0C0"/>
        </a:solidFill>
        <a:ln w="12700">
          <a:solidFill>
            <a:srgbClr val="808080"/>
          </a:solidFill>
          <a:prstDash val="solid"/>
        </a:ln>
      </c:spPr>
    </c:plotArea>
    <c:legend>
      <c:legendPos val="r"/>
      <c:layout>
        <c:manualLayout>
          <c:xMode val="edge"/>
          <c:yMode val="edge"/>
          <c:x val="0.92864528348210906"/>
          <c:y val="0.34237288135593646"/>
          <c:w val="6.6184054387410929E-2"/>
          <c:h val="0.28644067796610384"/>
        </c:manualLayout>
      </c:layout>
      <c:overlay val="0"/>
      <c:spPr>
        <a:solidFill>
          <a:srgbClr val="FFFFFF"/>
        </a:solidFill>
        <a:ln w="3175">
          <a:solidFill>
            <a:srgbClr val="000000"/>
          </a:solidFill>
          <a:prstDash val="solid"/>
        </a:ln>
      </c:spPr>
      <c:txPr>
        <a:bodyPr/>
        <a:lstStyle/>
        <a:p>
          <a:pPr>
            <a:defRPr lang="en-US" sz="500" b="0" i="0" u="none" strike="noStrike" baseline="0">
              <a:solidFill>
                <a:srgbClr val="000000"/>
              </a:solidFill>
              <a:latin typeface="Arial"/>
              <a:ea typeface="Arial"/>
              <a:cs typeface="Arial"/>
            </a:defRPr>
          </a:pPr>
          <a:endParaRPr lang="id-ID"/>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id-ID"/>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codeName="Chart1">
    <tabColor indexed="11"/>
  </sheetPr>
  <sheetViews>
    <sheetView zoomScale="98"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file:///C:\Documents%20and%20Settings\acer\My%20Documents\RKA-SKPD-DISHUB%202007\RKA-SKAD%20DISHUB%2009-03-07\Juklak%20PerMendagri%2013%20Thn%202006\fscommand\1\Lampiran%20A-14-1%20RKA-SKPD%200.PDF"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file:///C:\Documents%20and%20Settings\acer\My%20Documents\RKA-SKPD-DISHUB%202007\RKA-SKAD%20DISHUB%2009-03-07\Juklak%20PerMendagri%2013%20Thn%202006\fscommand\1\Lampiran%20A-14-5%20RKA-SKPD%202.2.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absoluteAnchor>
    <xdr:pos x="0" y="0"/>
    <xdr:ext cx="9291735" cy="607137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A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A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B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B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bwMode="auto">
        <a:xfrm>
          <a:off x="0" y="44100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C00-000003000000}"/>
            </a:ext>
          </a:extLst>
        </xdr:cNvPr>
        <xdr:cNvSpPr txBox="1">
          <a:spLocks noChangeArrowheads="1"/>
        </xdr:cNvSpPr>
      </xdr:nvSpPr>
      <xdr:spPr bwMode="auto">
        <a:xfrm>
          <a:off x="0" y="44100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C00-000004000000}"/>
            </a:ext>
          </a:extLst>
        </xdr:cNvPr>
        <xdr:cNvSpPr txBox="1">
          <a:spLocks noChangeArrowheads="1"/>
        </xdr:cNvSpPr>
      </xdr:nvSpPr>
      <xdr:spPr bwMode="auto">
        <a:xfrm>
          <a:off x="0" y="44100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0" y="44100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D00-000003000000}"/>
            </a:ext>
          </a:extLst>
        </xdr:cNvPr>
        <xdr:cNvSpPr txBox="1">
          <a:spLocks noChangeArrowheads="1"/>
        </xdr:cNvSpPr>
      </xdr:nvSpPr>
      <xdr:spPr bwMode="auto">
        <a:xfrm>
          <a:off x="0" y="44100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0" y="44100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F00-000002000000}"/>
            </a:ext>
          </a:extLst>
        </xdr:cNvPr>
        <xdr:cNvSpPr txBox="1">
          <a:spLocks noChangeArrowheads="1"/>
        </xdr:cNvSpPr>
      </xdr:nvSpPr>
      <xdr:spPr bwMode="auto">
        <a:xfrm>
          <a:off x="260350" y="46132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F00-000003000000}"/>
            </a:ext>
          </a:extLst>
        </xdr:cNvPr>
        <xdr:cNvSpPr txBox="1">
          <a:spLocks noChangeArrowheads="1"/>
        </xdr:cNvSpPr>
      </xdr:nvSpPr>
      <xdr:spPr bwMode="auto">
        <a:xfrm>
          <a:off x="260350" y="46132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F00-000004000000}"/>
            </a:ext>
          </a:extLst>
        </xdr:cNvPr>
        <xdr:cNvSpPr txBox="1">
          <a:spLocks noChangeArrowheads="1"/>
        </xdr:cNvSpPr>
      </xdr:nvSpPr>
      <xdr:spPr bwMode="auto">
        <a:xfrm>
          <a:off x="260350" y="46132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307975"/>
          <a:ext cx="994833" cy="454024"/>
        </a:xfrm>
        <a:prstGeom prst="rect">
          <a:avLst/>
        </a:prstGeom>
        <a:noFill/>
        <a:ln w="9525">
          <a:noFill/>
          <a:miter lim="800000"/>
          <a:headEnd/>
          <a:tailEnd/>
        </a:ln>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000-000002000000}"/>
            </a:ext>
          </a:extLst>
        </xdr:cNvPr>
        <xdr:cNvSpPr txBox="1">
          <a:spLocks noChangeArrowheads="1"/>
        </xdr:cNvSpPr>
      </xdr:nvSpPr>
      <xdr:spPr bwMode="auto">
        <a:xfrm>
          <a:off x="266700" y="42576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000-000003000000}"/>
            </a:ext>
          </a:extLst>
        </xdr:cNvPr>
        <xdr:cNvSpPr txBox="1">
          <a:spLocks noChangeArrowheads="1"/>
        </xdr:cNvSpPr>
      </xdr:nvSpPr>
      <xdr:spPr bwMode="auto">
        <a:xfrm>
          <a:off x="266700" y="42576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000-000004000000}"/>
            </a:ext>
          </a:extLst>
        </xdr:cNvPr>
        <xdr:cNvSpPr txBox="1">
          <a:spLocks noChangeArrowheads="1"/>
        </xdr:cNvSpPr>
      </xdr:nvSpPr>
      <xdr:spPr bwMode="auto">
        <a:xfrm>
          <a:off x="266700" y="42576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1650" y="314325"/>
          <a:ext cx="994833" cy="454024"/>
        </a:xfrm>
        <a:prstGeom prst="rect">
          <a:avLst/>
        </a:prstGeom>
        <a:noFill/>
        <a:ln w="9525">
          <a:noFill/>
          <a:miter lim="800000"/>
          <a:headEnd/>
          <a:tailEnd/>
        </a:ln>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1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1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57149</xdr:rowOff>
    </xdr:to>
    <xdr:sp macro="" textlink="">
      <xdr:nvSpPr>
        <xdr:cNvPr id="2" name="Text Box 3">
          <a:extLst>
            <a:ext uri="{FF2B5EF4-FFF2-40B4-BE49-F238E27FC236}">
              <a16:creationId xmlns:a16="http://schemas.microsoft.com/office/drawing/2014/main" id="{00000000-0008-0000-13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57149</xdr:rowOff>
    </xdr:to>
    <xdr:sp macro="" textlink="">
      <xdr:nvSpPr>
        <xdr:cNvPr id="3" name="Text Box 5">
          <a:extLst>
            <a:ext uri="{FF2B5EF4-FFF2-40B4-BE49-F238E27FC236}">
              <a16:creationId xmlns:a16="http://schemas.microsoft.com/office/drawing/2014/main" id="{00000000-0008-0000-13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38099</xdr:rowOff>
    </xdr:to>
    <xdr:sp macro="" textlink="">
      <xdr:nvSpPr>
        <xdr:cNvPr id="4" name="Text Box 1">
          <a:extLst>
            <a:ext uri="{FF2B5EF4-FFF2-40B4-BE49-F238E27FC236}">
              <a16:creationId xmlns:a16="http://schemas.microsoft.com/office/drawing/2014/main" id="{00000000-0008-0000-13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57149</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298450" y="4632325"/>
          <a:ext cx="76200" cy="200024"/>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57149</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298450" y="4632325"/>
          <a:ext cx="76200" cy="200024"/>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38099</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298450" y="4632325"/>
          <a:ext cx="76200" cy="180974"/>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3400" y="314325"/>
          <a:ext cx="994833" cy="454024"/>
        </a:xfrm>
        <a:prstGeom prst="rect">
          <a:avLst/>
        </a:prstGeom>
        <a:noFill/>
        <a:ln w="9525">
          <a:noFill/>
          <a:miter lim="800000"/>
          <a:headEnd/>
          <a:tailEnd/>
        </a:ln>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400-000002000000}"/>
            </a:ext>
          </a:extLst>
        </xdr:cNvPr>
        <xdr:cNvSpPr txBox="1">
          <a:spLocks noChangeArrowheads="1"/>
        </xdr:cNvSpPr>
      </xdr:nvSpPr>
      <xdr:spPr bwMode="auto">
        <a:xfrm>
          <a:off x="228600" y="43973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400-000003000000}"/>
            </a:ext>
          </a:extLst>
        </xdr:cNvPr>
        <xdr:cNvSpPr txBox="1">
          <a:spLocks noChangeArrowheads="1"/>
        </xdr:cNvSpPr>
      </xdr:nvSpPr>
      <xdr:spPr bwMode="auto">
        <a:xfrm>
          <a:off x="228600" y="43973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400-000004000000}"/>
            </a:ext>
          </a:extLst>
        </xdr:cNvPr>
        <xdr:cNvSpPr txBox="1">
          <a:spLocks noChangeArrowheads="1"/>
        </xdr:cNvSpPr>
      </xdr:nvSpPr>
      <xdr:spPr bwMode="auto">
        <a:xfrm>
          <a:off x="228600" y="43973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3550" y="307975"/>
          <a:ext cx="994833" cy="454024"/>
        </a:xfrm>
        <a:prstGeom prst="rect">
          <a:avLst/>
        </a:prstGeom>
        <a:noFill/>
        <a:ln w="9525">
          <a:noFill/>
          <a:miter lim="800000"/>
          <a:headEnd/>
          <a:tailEnd/>
        </a:ln>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8</xdr:row>
      <xdr:rowOff>38100</xdr:rowOff>
    </xdr:from>
    <xdr:to>
      <xdr:col>11</xdr:col>
      <xdr:colOff>266700</xdr:colOff>
      <xdr:row>25</xdr:row>
      <xdr:rowOff>114300</xdr:rowOff>
    </xdr:to>
    <xdr:pic>
      <xdr:nvPicPr>
        <xdr:cNvPr id="198620" name="Picture 1" descr="Logo Pemko1 copy">
          <a:extLst>
            <a:ext uri="{FF2B5EF4-FFF2-40B4-BE49-F238E27FC236}">
              <a16:creationId xmlns:a16="http://schemas.microsoft.com/office/drawing/2014/main" id="{00000000-0008-0000-0100-0000DC07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14600" y="1333500"/>
          <a:ext cx="2257425" cy="2828925"/>
        </a:xfrm>
        <a:prstGeom prst="rect">
          <a:avLst/>
        </a:prstGeom>
        <a:noFill/>
        <a:ln w="9525">
          <a:noFill/>
          <a:miter lim="800000"/>
          <a:headEnd/>
          <a:tailEnd/>
        </a:ln>
      </xdr:spPr>
    </xdr:pic>
    <xdr:clientData fLocksWithSheet="0"/>
  </xdr:twoCellAnchor>
  <xdr:twoCellAnchor>
    <xdr:from>
      <xdr:col>2</xdr:col>
      <xdr:colOff>57150</xdr:colOff>
      <xdr:row>5</xdr:row>
      <xdr:rowOff>19050</xdr:rowOff>
    </xdr:from>
    <xdr:to>
      <xdr:col>14</xdr:col>
      <xdr:colOff>180975</xdr:colOff>
      <xdr:row>5</xdr:row>
      <xdr:rowOff>47625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409575" y="828675"/>
          <a:ext cx="668655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5</xdr:row>
      <xdr:rowOff>19050</xdr:rowOff>
    </xdr:from>
    <xdr:to>
      <xdr:col>2</xdr:col>
      <xdr:colOff>104775</xdr:colOff>
      <xdr:row>70</xdr:row>
      <xdr:rowOff>152401</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rot="5400000">
          <a:off x="-5010150" y="6286500"/>
          <a:ext cx="10925176" cy="952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4</xdr:row>
      <xdr:rowOff>161924</xdr:rowOff>
    </xdr:from>
    <xdr:to>
      <xdr:col>14</xdr:col>
      <xdr:colOff>180976</xdr:colOff>
      <xdr:row>70</xdr:row>
      <xdr:rowOff>161923</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rot="16200000" flipH="1">
          <a:off x="1609726" y="6276974"/>
          <a:ext cx="10953749" cy="19050"/>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70</xdr:row>
      <xdr:rowOff>114300</xdr:rowOff>
    </xdr:from>
    <xdr:to>
      <xdr:col>14</xdr:col>
      <xdr:colOff>219075</xdr:colOff>
      <xdr:row>70</xdr:row>
      <xdr:rowOff>142875</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438150" y="11715750"/>
          <a:ext cx="6696075"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5</xdr:row>
      <xdr:rowOff>152400</xdr:rowOff>
    </xdr:from>
    <xdr:to>
      <xdr:col>14</xdr:col>
      <xdr:colOff>66675</xdr:colOff>
      <xdr:row>6</xdr:row>
      <xdr:rowOff>19050</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a:off x="581025" y="962025"/>
          <a:ext cx="640080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69</xdr:row>
      <xdr:rowOff>142875</xdr:rowOff>
    </xdr:from>
    <xdr:to>
      <xdr:col>14</xdr:col>
      <xdr:colOff>19050</xdr:colOff>
      <xdr:row>70</xdr:row>
      <xdr:rowOff>9525</xdr:rowOff>
    </xdr:to>
    <xdr:cxnSp macro="">
      <xdr:nvCxnSpPr>
        <xdr:cNvPr id="26" name="Straight Connector 25">
          <a:extLst>
            <a:ext uri="{FF2B5EF4-FFF2-40B4-BE49-F238E27FC236}">
              <a16:creationId xmlns:a16="http://schemas.microsoft.com/office/drawing/2014/main" id="{00000000-0008-0000-0100-00001A000000}"/>
            </a:ext>
          </a:extLst>
        </xdr:cNvPr>
        <xdr:cNvCxnSpPr/>
      </xdr:nvCxnSpPr>
      <xdr:spPr>
        <a:xfrm>
          <a:off x="571500" y="11582400"/>
          <a:ext cx="6362700" cy="28575"/>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247648</xdr:colOff>
      <xdr:row>5</xdr:row>
      <xdr:rowOff>142874</xdr:rowOff>
    </xdr:from>
    <xdr:to>
      <xdr:col>2</xdr:col>
      <xdr:colOff>247652</xdr:colOff>
      <xdr:row>69</xdr:row>
      <xdr:rowOff>152399</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rot="16200000" flipH="1">
          <a:off x="-4719638" y="6272210"/>
          <a:ext cx="10639425" cy="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6</xdr:row>
      <xdr:rowOff>57153</xdr:rowOff>
    </xdr:from>
    <xdr:to>
      <xdr:col>14</xdr:col>
      <xdr:colOff>57150</xdr:colOff>
      <xdr:row>70</xdr:row>
      <xdr:rowOff>47625</xdr:rowOff>
    </xdr:to>
    <xdr:cxnSp macro="">
      <xdr:nvCxnSpPr>
        <xdr:cNvPr id="28" name="Straight Connector 27">
          <a:extLst>
            <a:ext uri="{FF2B5EF4-FFF2-40B4-BE49-F238E27FC236}">
              <a16:creationId xmlns:a16="http://schemas.microsoft.com/office/drawing/2014/main" id="{00000000-0008-0000-0100-00001C000000}"/>
            </a:ext>
          </a:extLst>
        </xdr:cNvPr>
        <xdr:cNvCxnSpPr/>
      </xdr:nvCxnSpPr>
      <xdr:spPr>
        <a:xfrm rot="16200000" flipV="1">
          <a:off x="1647827" y="6324602"/>
          <a:ext cx="10620372" cy="28574"/>
        </a:xfrm>
        <a:prstGeom prst="line">
          <a:avLst/>
        </a:prstGeom>
        <a:ln w="889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57149</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298450" y="4714875"/>
          <a:ext cx="76200" cy="200024"/>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57149</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298450" y="4714875"/>
          <a:ext cx="76200" cy="200024"/>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38099</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298450" y="4714875"/>
          <a:ext cx="76200" cy="180974"/>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133348</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3400" y="307975"/>
          <a:ext cx="994833" cy="454023"/>
        </a:xfrm>
        <a:prstGeom prst="rect">
          <a:avLst/>
        </a:prstGeom>
        <a:noFill/>
        <a:ln w="9525">
          <a:noFill/>
          <a:miter lim="800000"/>
          <a:headEnd/>
          <a:tailEnd/>
        </a:ln>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57149</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57149</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38099</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0" y="425132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133348</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950" y="307975"/>
          <a:ext cx="994833" cy="454025"/>
        </a:xfrm>
        <a:prstGeom prst="rect">
          <a:avLst/>
        </a:prstGeom>
        <a:noFill/>
        <a:ln w="9525">
          <a:noFill/>
          <a:miter lim="800000"/>
          <a:headEnd/>
          <a:tailEnd/>
        </a:ln>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317500" y="48672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317500" y="48672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317500" y="48672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2450" y="307975"/>
          <a:ext cx="994833" cy="454024"/>
        </a:xfrm>
        <a:prstGeom prst="rect">
          <a:avLst/>
        </a:prstGeom>
        <a:noFill/>
        <a:ln w="9525">
          <a:noFill/>
          <a:miter lim="800000"/>
          <a:headEnd/>
          <a:tailEnd/>
        </a:ln>
      </xdr:spPr>
    </xdr:pic>
    <xdr:clientData fLocksWithSheet="0"/>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0" y="425132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950" y="307975"/>
          <a:ext cx="994833" cy="454025"/>
        </a:xfrm>
        <a:prstGeom prst="rect">
          <a:avLst/>
        </a:prstGeom>
        <a:noFill/>
        <a:ln w="9525">
          <a:noFill/>
          <a:miter lim="800000"/>
          <a:headEnd/>
          <a:tailEnd/>
        </a:ln>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5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5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5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7</xdr:col>
      <xdr:colOff>1852</xdr:colOff>
      <xdr:row>3</xdr:row>
      <xdr:rowOff>133349</xdr:rowOff>
    </xdr:to>
    <xdr:pic>
      <xdr:nvPicPr>
        <xdr:cNvPr id="5" name="Picture 2" descr="Logo Pemko1 copy">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0" y="425132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0" y="425132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950" y="307975"/>
          <a:ext cx="994833" cy="454025"/>
        </a:xfrm>
        <a:prstGeom prst="rect">
          <a:avLst/>
        </a:prstGeom>
        <a:noFill/>
        <a:ln w="9525">
          <a:noFill/>
          <a:miter lim="800000"/>
          <a:headEnd/>
          <a:tailEnd/>
        </a:ln>
      </xdr:spPr>
    </xdr:pic>
    <xdr:clientData fLocksWithSheet="0"/>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361950" y="46005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361950" y="46005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361950" y="46005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6900" y="314325"/>
          <a:ext cx="994833" cy="454024"/>
        </a:xfrm>
        <a:prstGeom prst="rect">
          <a:avLst/>
        </a:prstGeom>
        <a:noFill/>
        <a:ln w="9525">
          <a:noFill/>
          <a:miter lim="800000"/>
          <a:headEnd/>
          <a:tailEnd/>
        </a:ln>
      </xdr:spPr>
    </xdr:pic>
    <xdr:clientData fLocksWithSheet="0"/>
  </xdr:twoCellAnchor>
  <xdr:twoCellAnchor editAs="oneCell">
    <xdr:from>
      <xdr:col>1</xdr:col>
      <xdr:colOff>0</xdr:colOff>
      <xdr:row>20</xdr:row>
      <xdr:rowOff>142875</xdr:rowOff>
    </xdr:from>
    <xdr:to>
      <xdr:col>1</xdr:col>
      <xdr:colOff>76200</xdr:colOff>
      <xdr:row>21</xdr:row>
      <xdr:rowOff>57150</xdr:rowOff>
    </xdr:to>
    <xdr:sp macro="" textlink="">
      <xdr:nvSpPr>
        <xdr:cNvPr id="6"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361950" y="46005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7"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361950" y="46005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8"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361950" y="46005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9"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6900" y="314325"/>
          <a:ext cx="994833" cy="454024"/>
        </a:xfrm>
        <a:prstGeom prst="rect">
          <a:avLst/>
        </a:prstGeom>
        <a:noFill/>
        <a:ln w="9525">
          <a:noFill/>
          <a:miter lim="800000"/>
          <a:headEnd/>
          <a:tailEnd/>
        </a:ln>
      </xdr:spPr>
    </xdr:pic>
    <xdr:clientData fLocksWithSheet="0"/>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57151</xdr:rowOff>
    </xdr:to>
    <xdr:sp macro="" textlink="">
      <xdr:nvSpPr>
        <xdr:cNvPr id="2" name="Text Box 3">
          <a:extLst>
            <a:ext uri="{FF2B5EF4-FFF2-40B4-BE49-F238E27FC236}">
              <a16:creationId xmlns:a16="http://schemas.microsoft.com/office/drawing/2014/main" id="{00000000-0008-0000-1600-0000A5800300}"/>
            </a:ext>
          </a:extLst>
        </xdr:cNvPr>
        <xdr:cNvSpPr txBox="1">
          <a:spLocks noChangeArrowheads="1"/>
        </xdr:cNvSpPr>
      </xdr:nvSpPr>
      <xdr:spPr bwMode="auto">
        <a:xfrm>
          <a:off x="361950" y="45751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57151</xdr:rowOff>
    </xdr:to>
    <xdr:sp macro="" textlink="">
      <xdr:nvSpPr>
        <xdr:cNvPr id="3" name="Text Box 5">
          <a:extLst>
            <a:ext uri="{FF2B5EF4-FFF2-40B4-BE49-F238E27FC236}">
              <a16:creationId xmlns:a16="http://schemas.microsoft.com/office/drawing/2014/main" id="{00000000-0008-0000-1600-0000A6800300}"/>
            </a:ext>
          </a:extLst>
        </xdr:cNvPr>
        <xdr:cNvSpPr txBox="1">
          <a:spLocks noChangeArrowheads="1"/>
        </xdr:cNvSpPr>
      </xdr:nvSpPr>
      <xdr:spPr bwMode="auto">
        <a:xfrm>
          <a:off x="361950" y="45751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38101</xdr:rowOff>
    </xdr:to>
    <xdr:sp macro="" textlink="">
      <xdr:nvSpPr>
        <xdr:cNvPr id="4" name="Text Box 1">
          <a:extLst>
            <a:ext uri="{FF2B5EF4-FFF2-40B4-BE49-F238E27FC236}">
              <a16:creationId xmlns:a16="http://schemas.microsoft.com/office/drawing/2014/main" id="{00000000-0008-0000-1600-0000A7800300}"/>
            </a:ext>
          </a:extLst>
        </xdr:cNvPr>
        <xdr:cNvSpPr txBox="1">
          <a:spLocks noChangeArrowheads="1"/>
        </xdr:cNvSpPr>
      </xdr:nvSpPr>
      <xdr:spPr bwMode="auto">
        <a:xfrm>
          <a:off x="361950" y="45751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600-0000A88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6900" y="314325"/>
          <a:ext cx="994833" cy="454024"/>
        </a:xfrm>
        <a:prstGeom prst="rect">
          <a:avLst/>
        </a:prstGeom>
        <a:noFill/>
        <a:ln w="9525">
          <a:noFill/>
          <a:miter lim="800000"/>
          <a:headEnd/>
          <a:tailEnd/>
        </a:ln>
      </xdr:spPr>
    </xdr:pic>
    <xdr:clientData fLocksWithSheet="0"/>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77448308-D07C-4FBB-94C6-09F9B1816C90}"/>
            </a:ext>
          </a:extLst>
        </xdr:cNvPr>
        <xdr:cNvSpPr txBox="1">
          <a:spLocks noChangeArrowheads="1"/>
        </xdr:cNvSpPr>
      </xdr:nvSpPr>
      <xdr:spPr bwMode="auto">
        <a:xfrm>
          <a:off x="0" y="46101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32105B5-0599-4086-B8FE-C9774972E2B2}"/>
            </a:ext>
          </a:extLst>
        </xdr:cNvPr>
        <xdr:cNvSpPr txBox="1">
          <a:spLocks noChangeArrowheads="1"/>
        </xdr:cNvSpPr>
      </xdr:nvSpPr>
      <xdr:spPr bwMode="auto">
        <a:xfrm>
          <a:off x="0" y="46101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15CEC401-4DD0-478E-A0B1-A91DAA4E070D}"/>
            </a:ext>
          </a:extLst>
        </xdr:cNvPr>
        <xdr:cNvSpPr txBox="1">
          <a:spLocks noChangeArrowheads="1"/>
        </xdr:cNvSpPr>
      </xdr:nvSpPr>
      <xdr:spPr bwMode="auto">
        <a:xfrm>
          <a:off x="0" y="4610100"/>
          <a:ext cx="76200" cy="180975"/>
        </a:xfrm>
        <a:prstGeom prst="rect">
          <a:avLst/>
        </a:prstGeom>
        <a:noFill/>
        <a:ln w="9525">
          <a:noFill/>
          <a:miter lim="800000"/>
          <a:headEnd/>
          <a:tailEnd/>
        </a:ln>
      </xdr:spPr>
    </xdr:sp>
    <xdr:clientData/>
  </xdr:twoCellAnchor>
  <xdr:twoCellAnchor editAs="oneCell">
    <xdr:from>
      <xdr:col>2</xdr:col>
      <xdr:colOff>38101</xdr:colOff>
      <xdr:row>1</xdr:row>
      <xdr:rowOff>9525</xdr:rowOff>
    </xdr:from>
    <xdr:to>
      <xdr:col>6</xdr:col>
      <xdr:colOff>0</xdr:colOff>
      <xdr:row>4</xdr:row>
      <xdr:rowOff>152400</xdr:rowOff>
    </xdr:to>
    <xdr:pic>
      <xdr:nvPicPr>
        <xdr:cNvPr id="5" name="Picture 2" descr="Logo Pemko1 copy">
          <a:extLst>
            <a:ext uri="{FF2B5EF4-FFF2-40B4-BE49-F238E27FC236}">
              <a16:creationId xmlns:a16="http://schemas.microsoft.com/office/drawing/2014/main" id="{A60E65EC-81D2-4563-A598-B53DFEBDAA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1" y="209550"/>
          <a:ext cx="800100" cy="790575"/>
        </a:xfrm>
        <a:prstGeom prst="rect">
          <a:avLst/>
        </a:prstGeom>
        <a:noFill/>
        <a:ln w="9525">
          <a:noFill/>
          <a:miter lim="800000"/>
          <a:headEnd/>
          <a:tailEnd/>
        </a:ln>
      </xdr:spPr>
    </xdr:pic>
    <xdr:clientData fLocksWithSheet="0"/>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57149</xdr:rowOff>
    </xdr:to>
    <xdr:sp macro="" textlink="">
      <xdr:nvSpPr>
        <xdr:cNvPr id="2" name="Text Box 3">
          <a:extLst>
            <a:ext uri="{FF2B5EF4-FFF2-40B4-BE49-F238E27FC236}">
              <a16:creationId xmlns:a16="http://schemas.microsoft.com/office/drawing/2014/main" id="{00000000-0008-0000-1800-000002000000}"/>
            </a:ext>
          </a:extLst>
        </xdr:cNvPr>
        <xdr:cNvSpPr txBox="1">
          <a:spLocks noChangeArrowheads="1"/>
        </xdr:cNvSpPr>
      </xdr:nvSpPr>
      <xdr:spPr bwMode="auto">
        <a:xfrm>
          <a:off x="0" y="455295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57149</xdr:rowOff>
    </xdr:to>
    <xdr:sp macro="" textlink="">
      <xdr:nvSpPr>
        <xdr:cNvPr id="3" name="Text Box 5">
          <a:extLst>
            <a:ext uri="{FF2B5EF4-FFF2-40B4-BE49-F238E27FC236}">
              <a16:creationId xmlns:a16="http://schemas.microsoft.com/office/drawing/2014/main" id="{00000000-0008-0000-1800-000003000000}"/>
            </a:ext>
          </a:extLst>
        </xdr:cNvPr>
        <xdr:cNvSpPr txBox="1">
          <a:spLocks noChangeArrowheads="1"/>
        </xdr:cNvSpPr>
      </xdr:nvSpPr>
      <xdr:spPr bwMode="auto">
        <a:xfrm>
          <a:off x="0" y="455295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38099</xdr:rowOff>
    </xdr:to>
    <xdr:sp macro="" textlink="">
      <xdr:nvSpPr>
        <xdr:cNvPr id="4" name="Text Box 1">
          <a:extLst>
            <a:ext uri="{FF2B5EF4-FFF2-40B4-BE49-F238E27FC236}">
              <a16:creationId xmlns:a16="http://schemas.microsoft.com/office/drawing/2014/main" id="{00000000-0008-0000-1800-000004000000}"/>
            </a:ext>
          </a:extLst>
        </xdr:cNvPr>
        <xdr:cNvSpPr txBox="1">
          <a:spLocks noChangeArrowheads="1"/>
        </xdr:cNvSpPr>
      </xdr:nvSpPr>
      <xdr:spPr bwMode="auto">
        <a:xfrm>
          <a:off x="0" y="455295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447675</xdr:colOff>
      <xdr:row>1</xdr:row>
      <xdr:rowOff>47625</xdr:rowOff>
    </xdr:from>
    <xdr:to>
      <xdr:col>5</xdr:col>
      <xdr:colOff>638175</xdr:colOff>
      <xdr:row>7</xdr:row>
      <xdr:rowOff>0</xdr:rowOff>
    </xdr:to>
    <xdr:pic>
      <xdr:nvPicPr>
        <xdr:cNvPr id="217140" name="Picture 1" descr="Logo Pemko1 copy">
          <a:extLst>
            <a:ext uri="{FF2B5EF4-FFF2-40B4-BE49-F238E27FC236}">
              <a16:creationId xmlns:a16="http://schemas.microsoft.com/office/drawing/2014/main" id="{00000000-0008-0000-0200-0000345003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05175" y="47625"/>
          <a:ext cx="800100" cy="98107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1900-000002000000}"/>
            </a:ext>
          </a:extLst>
        </xdr:cNvPr>
        <xdr:cNvSpPr txBox="1">
          <a:spLocks noChangeArrowheads="1"/>
        </xdr:cNvSpPr>
      </xdr:nvSpPr>
      <xdr:spPr bwMode="auto">
        <a:xfrm>
          <a:off x="0" y="47148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1900-000003000000}"/>
            </a:ext>
          </a:extLst>
        </xdr:cNvPr>
        <xdr:cNvSpPr txBox="1">
          <a:spLocks noChangeArrowheads="1"/>
        </xdr:cNvSpPr>
      </xdr:nvSpPr>
      <xdr:spPr bwMode="auto">
        <a:xfrm>
          <a:off x="0" y="4714875"/>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1900-000004000000}"/>
            </a:ext>
          </a:extLst>
        </xdr:cNvPr>
        <xdr:cNvSpPr txBox="1">
          <a:spLocks noChangeArrowheads="1"/>
        </xdr:cNvSpPr>
      </xdr:nvSpPr>
      <xdr:spPr bwMode="auto">
        <a:xfrm>
          <a:off x="0" y="4714875"/>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156634</xdr:colOff>
      <xdr:row>3</xdr:row>
      <xdr:rowOff>133350</xdr:rowOff>
    </xdr:to>
    <xdr:pic>
      <xdr:nvPicPr>
        <xdr:cNvPr id="5" name="Picture 2" descr="Logo Pemko1 copy">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22</xdr:col>
      <xdr:colOff>200025</xdr:colOff>
      <xdr:row>1</xdr:row>
      <xdr:rowOff>0</xdr:rowOff>
    </xdr:from>
    <xdr:to>
      <xdr:col>23</xdr:col>
      <xdr:colOff>293355</xdr:colOff>
      <xdr:row>4</xdr:row>
      <xdr:rowOff>142875</xdr:rowOff>
    </xdr:to>
    <xdr:sp macro="" textlink="">
      <xdr:nvSpPr>
        <xdr:cNvPr id="2049" name="AutoShape 1">
          <a:hlinkClick xmlns:r="http://schemas.openxmlformats.org/officeDocument/2006/relationships" r:id="rId1"/>
          <a:extLst>
            <a:ext uri="{FF2B5EF4-FFF2-40B4-BE49-F238E27FC236}">
              <a16:creationId xmlns:a16="http://schemas.microsoft.com/office/drawing/2014/main" id="{00000000-0008-0000-0300-000001080000}"/>
            </a:ext>
          </a:extLst>
        </xdr:cNvPr>
        <xdr:cNvSpPr>
          <a:spLocks noChangeArrowheads="1"/>
        </xdr:cNvSpPr>
      </xdr:nvSpPr>
      <xdr:spPr bwMode="auto">
        <a:xfrm>
          <a:off x="6762750" y="171450"/>
          <a:ext cx="704850" cy="1038225"/>
        </a:xfrm>
        <a:prstGeom prst="right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1000" b="0" i="0" strike="noStrike">
              <a:solidFill>
                <a:srgbClr val="000000"/>
              </a:solidFill>
              <a:latin typeface="Arial"/>
              <a:cs typeface="Arial"/>
            </a:rPr>
            <a:t>Cara</a:t>
          </a:r>
        </a:p>
        <a:p>
          <a:pPr algn="l" rtl="1">
            <a:defRPr sz="1000"/>
          </a:pPr>
          <a:r>
            <a:rPr lang="id-ID" sz="1000" b="0" i="0" strike="noStrike">
              <a:solidFill>
                <a:srgbClr val="000000"/>
              </a:solidFill>
              <a:latin typeface="Arial"/>
              <a:cs typeface="Arial"/>
            </a:rPr>
            <a:t>Pengisian</a:t>
          </a:r>
        </a:p>
      </xdr:txBody>
    </xdr:sp>
    <xdr:clientData/>
  </xdr:twoCellAnchor>
  <xdr:twoCellAnchor editAs="oneCell">
    <xdr:from>
      <xdr:col>2</xdr:col>
      <xdr:colOff>9525</xdr:colOff>
      <xdr:row>1</xdr:row>
      <xdr:rowOff>28575</xdr:rowOff>
    </xdr:from>
    <xdr:to>
      <xdr:col>4</xdr:col>
      <xdr:colOff>47625</xdr:colOff>
      <xdr:row>2</xdr:row>
      <xdr:rowOff>238125</xdr:rowOff>
    </xdr:to>
    <xdr:pic>
      <xdr:nvPicPr>
        <xdr:cNvPr id="210029" name="Picture 2" descr="Logo Pemko1 copy">
          <a:extLst>
            <a:ext uri="{FF2B5EF4-FFF2-40B4-BE49-F238E27FC236}">
              <a16:creationId xmlns:a16="http://schemas.microsoft.com/office/drawing/2014/main" id="{00000000-0008-0000-0300-00006D3403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00025"/>
          <a:ext cx="457200" cy="542925"/>
        </a:xfrm>
        <a:prstGeom prst="rect">
          <a:avLst/>
        </a:prstGeom>
        <a:noFill/>
        <a:ln w="9525">
          <a:noFill/>
          <a:miter lim="800000"/>
          <a:headEnd/>
          <a:tailEnd/>
        </a:ln>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142875</xdr:rowOff>
    </xdr:from>
    <xdr:to>
      <xdr:col>1</xdr:col>
      <xdr:colOff>76200</xdr:colOff>
      <xdr:row>9</xdr:row>
      <xdr:rowOff>57150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0" y="1809750"/>
          <a:ext cx="76200" cy="200025"/>
        </a:xfrm>
        <a:prstGeom prst="rect">
          <a:avLst/>
        </a:prstGeom>
        <a:noFill/>
        <a:ln w="9525">
          <a:noFill/>
          <a:miter lim="800000"/>
          <a:headEnd/>
          <a:tailEnd/>
        </a:ln>
      </xdr:spPr>
    </xdr:sp>
    <xdr:clientData/>
  </xdr:twoCellAnchor>
  <xdr:twoCellAnchor editAs="oneCell">
    <xdr:from>
      <xdr:col>1</xdr:col>
      <xdr:colOff>0</xdr:colOff>
      <xdr:row>8</xdr:row>
      <xdr:rowOff>142875</xdr:rowOff>
    </xdr:from>
    <xdr:to>
      <xdr:col>1</xdr:col>
      <xdr:colOff>76200</xdr:colOff>
      <xdr:row>9</xdr:row>
      <xdr:rowOff>57150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0" y="1809750"/>
          <a:ext cx="76200" cy="200025"/>
        </a:xfrm>
        <a:prstGeom prst="rect">
          <a:avLst/>
        </a:prstGeom>
        <a:noFill/>
        <a:ln w="9525">
          <a:noFill/>
          <a:miter lim="800000"/>
          <a:headEnd/>
          <a:tailEnd/>
        </a:ln>
      </xdr:spPr>
    </xdr:sp>
    <xdr:clientData/>
  </xdr:twoCellAnchor>
  <xdr:twoCellAnchor editAs="oneCell">
    <xdr:from>
      <xdr:col>1</xdr:col>
      <xdr:colOff>0</xdr:colOff>
      <xdr:row>8</xdr:row>
      <xdr:rowOff>142875</xdr:rowOff>
    </xdr:from>
    <xdr:to>
      <xdr:col>1</xdr:col>
      <xdr:colOff>76200</xdr:colOff>
      <xdr:row>9</xdr:row>
      <xdr:rowOff>38100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0" y="180975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156634</xdr:colOff>
      <xdr:row>3</xdr:row>
      <xdr:rowOff>133350</xdr:rowOff>
    </xdr:to>
    <xdr:pic>
      <xdr:nvPicPr>
        <xdr:cNvPr id="5" name="Picture 2" descr="Logo Pemko1 copy">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14</xdr:col>
      <xdr:colOff>66675</xdr:colOff>
      <xdr:row>1</xdr:row>
      <xdr:rowOff>49530</xdr:rowOff>
    </xdr:from>
    <xdr:to>
      <xdr:col>15</xdr:col>
      <xdr:colOff>76200</xdr:colOff>
      <xdr:row>4</xdr:row>
      <xdr:rowOff>125730</xdr:rowOff>
    </xdr:to>
    <xdr:sp macro="" textlink="">
      <xdr:nvSpPr>
        <xdr:cNvPr id="1027" name="AutoShape 3">
          <a:hlinkClick xmlns:r="http://schemas.openxmlformats.org/officeDocument/2006/relationships" r:id="rId1"/>
          <a:extLst>
            <a:ext uri="{FF2B5EF4-FFF2-40B4-BE49-F238E27FC236}">
              <a16:creationId xmlns:a16="http://schemas.microsoft.com/office/drawing/2014/main" id="{00000000-0008-0000-0600-000003040000}"/>
            </a:ext>
          </a:extLst>
        </xdr:cNvPr>
        <xdr:cNvSpPr>
          <a:spLocks noChangeArrowheads="1"/>
        </xdr:cNvSpPr>
      </xdr:nvSpPr>
      <xdr:spPr bwMode="auto">
        <a:xfrm>
          <a:off x="13868400" y="228600"/>
          <a:ext cx="619125" cy="952500"/>
        </a:xfrm>
        <a:prstGeom prst="rightArrow">
          <a:avLst>
            <a:gd name="adj1" fmla="val 50000"/>
            <a:gd name="adj2" fmla="val 25000"/>
          </a:avLst>
        </a:prstGeom>
        <a:solidFill>
          <a:srgbClr val="FFCC00"/>
        </a:solidFill>
        <a:ln w="9525">
          <a:solidFill>
            <a:srgbClr val="000000"/>
          </a:solidFill>
          <a:miter lim="800000"/>
          <a:headEnd/>
          <a:tailEnd/>
        </a:ln>
      </xdr:spPr>
      <xdr:txBody>
        <a:bodyPr vertOverflow="clip" wrap="square" lIns="27432" tIns="22860" rIns="0" bIns="0" anchor="t" upright="1"/>
        <a:lstStyle/>
        <a:p>
          <a:pPr algn="l" rtl="1">
            <a:defRPr sz="1000"/>
          </a:pPr>
          <a:r>
            <a:rPr lang="id-ID" sz="800" b="0" i="0" strike="noStrike">
              <a:solidFill>
                <a:srgbClr val="000000"/>
              </a:solidFill>
              <a:latin typeface="Arial"/>
              <a:cs typeface="Arial"/>
            </a:rPr>
            <a:t>Cara</a:t>
          </a:r>
        </a:p>
        <a:p>
          <a:pPr algn="l" rtl="1">
            <a:defRPr sz="1000"/>
          </a:pPr>
          <a:r>
            <a:rPr lang="id-ID" sz="800" b="0" i="0" strike="noStrike">
              <a:solidFill>
                <a:srgbClr val="000000"/>
              </a:solidFill>
              <a:latin typeface="Arial"/>
              <a:cs typeface="Arial"/>
            </a:rPr>
            <a:t>Pengisian</a:t>
          </a:r>
        </a:p>
      </xdr:txBody>
    </xdr:sp>
    <xdr:clientData/>
  </xdr:twoCellAnchor>
  <xdr:twoCellAnchor editAs="oneCell">
    <xdr:from>
      <xdr:col>1</xdr:col>
      <xdr:colOff>266700</xdr:colOff>
      <xdr:row>1</xdr:row>
      <xdr:rowOff>38100</xdr:rowOff>
    </xdr:from>
    <xdr:to>
      <xdr:col>2</xdr:col>
      <xdr:colOff>190500</xdr:colOff>
      <xdr:row>2</xdr:row>
      <xdr:rowOff>295275</xdr:rowOff>
    </xdr:to>
    <xdr:pic>
      <xdr:nvPicPr>
        <xdr:cNvPr id="211052" name="Picture 4" descr="Logo Pemko1 copy">
          <a:extLst>
            <a:ext uri="{FF2B5EF4-FFF2-40B4-BE49-F238E27FC236}">
              <a16:creationId xmlns:a16="http://schemas.microsoft.com/office/drawing/2014/main" id="{00000000-0008-0000-0600-00006C3803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6300" y="209550"/>
          <a:ext cx="495300" cy="628650"/>
        </a:xfrm>
        <a:prstGeom prst="rect">
          <a:avLst/>
        </a:prstGeom>
        <a:noFill/>
        <a:ln w="9525">
          <a:noFill/>
          <a:miter lim="800000"/>
          <a:headEnd/>
          <a:tailEnd/>
        </a:ln>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57150</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57150</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20</xdr:row>
      <xdr:rowOff>142875</xdr:rowOff>
    </xdr:from>
    <xdr:to>
      <xdr:col>1</xdr:col>
      <xdr:colOff>76200</xdr:colOff>
      <xdr:row>21</xdr:row>
      <xdr:rowOff>57151</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57151</xdr:rowOff>
    </xdr:to>
    <xdr:sp macro="" textlink="">
      <xdr:nvSpPr>
        <xdr:cNvPr id="3" name="Text Box 5">
          <a:extLst>
            <a:ext uri="{FF2B5EF4-FFF2-40B4-BE49-F238E27FC236}">
              <a16:creationId xmlns:a16="http://schemas.microsoft.com/office/drawing/2014/main" id="{00000000-0008-0000-0900-000003000000}"/>
            </a:ext>
          </a:extLst>
        </xdr:cNvPr>
        <xdr:cNvSpPr txBox="1">
          <a:spLocks noChangeArrowheads="1"/>
        </xdr:cNvSpPr>
      </xdr:nvSpPr>
      <xdr:spPr bwMode="auto">
        <a:xfrm>
          <a:off x="0" y="4267200"/>
          <a:ext cx="76200" cy="200025"/>
        </a:xfrm>
        <a:prstGeom prst="rect">
          <a:avLst/>
        </a:prstGeom>
        <a:noFill/>
        <a:ln w="9525">
          <a:noFill/>
          <a:miter lim="800000"/>
          <a:headEnd/>
          <a:tailEnd/>
        </a:ln>
      </xdr:spPr>
    </xdr:sp>
    <xdr:clientData/>
  </xdr:twoCellAnchor>
  <xdr:twoCellAnchor editAs="oneCell">
    <xdr:from>
      <xdr:col>1</xdr:col>
      <xdr:colOff>0</xdr:colOff>
      <xdr:row>20</xdr:row>
      <xdr:rowOff>142875</xdr:rowOff>
    </xdr:from>
    <xdr:to>
      <xdr:col>1</xdr:col>
      <xdr:colOff>76200</xdr:colOff>
      <xdr:row>21</xdr:row>
      <xdr:rowOff>38101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0" y="4267200"/>
          <a:ext cx="76200" cy="180975"/>
        </a:xfrm>
        <a:prstGeom prst="rect">
          <a:avLst/>
        </a:prstGeom>
        <a:noFill/>
        <a:ln w="9525">
          <a:noFill/>
          <a:miter lim="800000"/>
          <a:headEnd/>
          <a:tailEnd/>
        </a:ln>
      </xdr:spPr>
    </xdr:sp>
    <xdr:clientData/>
  </xdr:twoCellAnchor>
  <xdr:twoCellAnchor editAs="oneCell">
    <xdr:from>
      <xdr:col>2</xdr:col>
      <xdr:colOff>38100</xdr:colOff>
      <xdr:row>1</xdr:row>
      <xdr:rowOff>142875</xdr:rowOff>
    </xdr:from>
    <xdr:to>
      <xdr:col>6</xdr:col>
      <xdr:colOff>156633</xdr:colOff>
      <xdr:row>3</xdr:row>
      <xdr:rowOff>133349</xdr:rowOff>
    </xdr:to>
    <xdr:pic>
      <xdr:nvPicPr>
        <xdr:cNvPr id="5" name="Picture 2" descr="Logo Pemko1 copy">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314325"/>
          <a:ext cx="956733" cy="457200"/>
        </a:xfrm>
        <a:prstGeom prst="rect">
          <a:avLst/>
        </a:prstGeom>
        <a:noFill/>
        <a:ln w="9525">
          <a:noFill/>
          <a:miter lim="800000"/>
          <a:headEnd/>
          <a:tailEnd/>
        </a:ln>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5.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um(P49:P53)" TargetMode="External"/><Relationship Id="rId1" Type="http://schemas.openxmlformats.org/officeDocument/2006/relationships/hyperlink" Target="mailto:=@sum(P49:P53)"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sum(P49:P53)" TargetMode="External"/><Relationship Id="rId1" Type="http://schemas.openxmlformats.org/officeDocument/2006/relationships/hyperlink" Target="mailto:=@sum(P49:P53)" TargetMode="External"/><Relationship Id="rId4"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um(Q79:R84)" TargetMode="External"/><Relationship Id="rId1" Type="http://schemas.openxmlformats.org/officeDocument/2006/relationships/hyperlink" Target="mailto:=@Sum(Q79:R84)" TargetMode="External"/><Relationship Id="rId4"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4:S74"/>
  <sheetViews>
    <sheetView view="pageBreakPreview" topLeftCell="A54" zoomScaleSheetLayoutView="100" workbookViewId="0">
      <selection activeCell="K66" sqref="K66"/>
    </sheetView>
  </sheetViews>
  <sheetFormatPr defaultRowHeight="12.5" x14ac:dyDescent="0.25"/>
  <cols>
    <col min="1" max="1" width="2.7265625" style="341" customWidth="1"/>
    <col min="2" max="2" width="2.54296875" style="341" customWidth="1"/>
    <col min="3" max="3" width="5" style="341" customWidth="1"/>
    <col min="4" max="4" width="3.54296875" style="341" customWidth="1"/>
    <col min="5" max="5" width="3.7265625" style="341" customWidth="1"/>
    <col min="6" max="6" width="9.26953125" style="341" customWidth="1"/>
    <col min="7" max="7" width="8.7265625" style="341"/>
    <col min="8" max="8" width="7" style="341" customWidth="1"/>
    <col min="9" max="9" width="2" style="341" customWidth="1"/>
    <col min="10" max="10" width="13.453125" style="341" customWidth="1"/>
    <col min="11" max="12" width="8.7265625" style="341"/>
    <col min="13" max="13" width="4" style="341" customWidth="1"/>
    <col min="14" max="14" width="23.7265625" style="341" customWidth="1"/>
    <col min="15" max="15" width="5.453125" style="341" customWidth="1"/>
    <col min="16" max="16" width="2.7265625" style="341" hidden="1" customWidth="1"/>
    <col min="17" max="18" width="8.7265625" style="341"/>
    <col min="19" max="19" width="19.26953125" style="341" customWidth="1"/>
    <col min="20" max="16384" width="8.7265625" style="341"/>
  </cols>
  <sheetData>
    <row r="4" spans="2:17" x14ac:dyDescent="0.25">
      <c r="B4" s="340"/>
      <c r="C4" s="340"/>
      <c r="D4" s="340"/>
      <c r="E4" s="340"/>
      <c r="F4" s="340"/>
      <c r="G4" s="340"/>
      <c r="H4" s="340"/>
      <c r="I4" s="340"/>
      <c r="J4" s="340"/>
      <c r="K4" s="340"/>
      <c r="L4" s="340"/>
      <c r="M4" s="340"/>
      <c r="N4" s="340"/>
      <c r="O4" s="340"/>
      <c r="P4" s="340"/>
    </row>
    <row r="5" spans="2:17" x14ac:dyDescent="0.25">
      <c r="B5" s="340"/>
      <c r="C5" s="340"/>
      <c r="D5" s="340"/>
      <c r="E5" s="340"/>
      <c r="F5" s="340"/>
      <c r="G5" s="340"/>
      <c r="H5" s="340"/>
      <c r="I5" s="340"/>
      <c r="J5" s="340"/>
      <c r="K5" s="340"/>
      <c r="L5" s="340"/>
      <c r="M5" s="340"/>
      <c r="N5" s="340"/>
      <c r="O5" s="340"/>
      <c r="P5" s="340"/>
    </row>
    <row r="6" spans="2:17" x14ac:dyDescent="0.25">
      <c r="B6" s="340"/>
      <c r="C6" s="340"/>
      <c r="D6" s="340"/>
      <c r="E6" s="340"/>
      <c r="F6" s="340"/>
      <c r="G6" s="340"/>
      <c r="H6" s="340"/>
      <c r="I6" s="340"/>
      <c r="J6" s="340"/>
      <c r="K6" s="340"/>
      <c r="L6" s="340"/>
      <c r="M6" s="340"/>
      <c r="N6" s="340"/>
      <c r="O6" s="340"/>
      <c r="P6" s="340"/>
      <c r="Q6" s="342"/>
    </row>
    <row r="7" spans="2:17" x14ac:dyDescent="0.25">
      <c r="B7" s="340"/>
      <c r="C7" s="340"/>
      <c r="D7" s="340"/>
      <c r="E7" s="340"/>
      <c r="F7" s="340"/>
      <c r="G7" s="340"/>
      <c r="H7" s="340"/>
      <c r="I7" s="340"/>
      <c r="J7" s="340"/>
      <c r="K7" s="340"/>
      <c r="L7" s="340"/>
      <c r="M7" s="340"/>
      <c r="N7" s="340"/>
      <c r="O7" s="340"/>
      <c r="P7" s="340"/>
    </row>
    <row r="8" spans="2:17" x14ac:dyDescent="0.25">
      <c r="B8" s="340"/>
      <c r="C8" s="340"/>
      <c r="D8" s="340"/>
      <c r="E8" s="340"/>
      <c r="F8" s="340"/>
      <c r="G8" s="340"/>
      <c r="H8" s="340"/>
      <c r="I8" s="340"/>
      <c r="J8" s="340"/>
      <c r="K8" s="340"/>
      <c r="L8" s="340"/>
      <c r="M8" s="340"/>
      <c r="N8" s="340"/>
      <c r="O8" s="340"/>
      <c r="P8" s="340"/>
    </row>
    <row r="9" spans="2:17" x14ac:dyDescent="0.25">
      <c r="B9" s="340"/>
      <c r="C9" s="340"/>
      <c r="D9" s="340"/>
      <c r="E9" s="340"/>
      <c r="F9" s="340"/>
      <c r="G9" s="340"/>
      <c r="H9" s="340"/>
      <c r="I9" s="340"/>
      <c r="J9" s="340"/>
      <c r="K9" s="340"/>
      <c r="L9" s="340"/>
      <c r="M9" s="340"/>
      <c r="N9" s="340"/>
      <c r="O9" s="340"/>
      <c r="P9" s="340"/>
    </row>
    <row r="10" spans="2:17" x14ac:dyDescent="0.25">
      <c r="B10" s="340"/>
      <c r="C10" s="340"/>
      <c r="D10" s="340"/>
      <c r="E10" s="340"/>
      <c r="F10" s="340"/>
      <c r="G10" s="340"/>
      <c r="H10" s="340"/>
      <c r="I10" s="340"/>
      <c r="J10" s="340"/>
      <c r="K10" s="340"/>
      <c r="L10" s="340"/>
      <c r="M10" s="340"/>
      <c r="N10" s="340"/>
      <c r="O10" s="340"/>
      <c r="P10" s="340"/>
    </row>
    <row r="11" spans="2:17" x14ac:dyDescent="0.25">
      <c r="B11" s="340"/>
      <c r="C11" s="340"/>
      <c r="D11" s="340"/>
      <c r="E11" s="340"/>
      <c r="F11" s="340"/>
      <c r="G11" s="340"/>
      <c r="H11" s="340"/>
      <c r="I11" s="340"/>
      <c r="J11" s="340"/>
      <c r="K11" s="340"/>
      <c r="L11" s="340"/>
      <c r="M11" s="340"/>
      <c r="N11" s="340"/>
      <c r="O11" s="340"/>
      <c r="P11" s="340"/>
    </row>
    <row r="12" spans="2:17" x14ac:dyDescent="0.25">
      <c r="B12" s="340"/>
      <c r="C12" s="340"/>
      <c r="D12" s="340"/>
      <c r="E12" s="340"/>
      <c r="F12" s="340"/>
      <c r="G12" s="340"/>
      <c r="H12" s="340"/>
      <c r="I12" s="340"/>
      <c r="J12" s="340"/>
      <c r="K12" s="340"/>
      <c r="L12" s="340"/>
      <c r="M12" s="340"/>
      <c r="N12" s="340"/>
      <c r="O12" s="340"/>
      <c r="P12" s="340"/>
    </row>
    <row r="13" spans="2:17" x14ac:dyDescent="0.25">
      <c r="B13" s="340"/>
      <c r="C13" s="340"/>
      <c r="D13" s="340"/>
      <c r="E13" s="340"/>
      <c r="F13" s="340"/>
      <c r="G13" s="340"/>
      <c r="H13" s="340"/>
      <c r="I13" s="340"/>
      <c r="J13" s="340"/>
      <c r="K13" s="340"/>
      <c r="L13" s="340"/>
      <c r="M13" s="340"/>
      <c r="N13" s="340"/>
      <c r="O13" s="340"/>
      <c r="P13" s="340"/>
    </row>
    <row r="14" spans="2:17" x14ac:dyDescent="0.25">
      <c r="B14" s="340"/>
      <c r="C14" s="340"/>
      <c r="D14" s="340"/>
      <c r="E14" s="340"/>
      <c r="F14" s="340"/>
      <c r="G14" s="340"/>
      <c r="H14" s="340"/>
      <c r="I14" s="340"/>
      <c r="J14" s="340"/>
      <c r="K14" s="340"/>
      <c r="L14" s="340"/>
      <c r="M14" s="340"/>
      <c r="N14" s="340"/>
      <c r="O14" s="340"/>
      <c r="P14" s="340"/>
    </row>
    <row r="15" spans="2:17" x14ac:dyDescent="0.25">
      <c r="B15" s="340"/>
      <c r="C15" s="340"/>
      <c r="D15" s="340"/>
      <c r="E15" s="340"/>
      <c r="F15" s="340"/>
      <c r="G15" s="340"/>
      <c r="H15" s="340"/>
      <c r="I15" s="340"/>
      <c r="J15" s="340"/>
      <c r="K15" s="340"/>
      <c r="L15" s="340"/>
      <c r="M15" s="340"/>
      <c r="N15" s="340"/>
      <c r="O15" s="340"/>
      <c r="P15" s="340"/>
    </row>
    <row r="16" spans="2:17" x14ac:dyDescent="0.25">
      <c r="B16" s="340"/>
      <c r="C16" s="340"/>
      <c r="D16" s="340"/>
      <c r="E16" s="340"/>
      <c r="F16" s="340"/>
      <c r="G16" s="340"/>
      <c r="H16" s="340"/>
      <c r="I16" s="340"/>
      <c r="J16" s="340"/>
      <c r="K16" s="340"/>
      <c r="L16" s="340"/>
      <c r="M16" s="340"/>
      <c r="N16" s="340"/>
      <c r="O16" s="340"/>
      <c r="P16" s="340"/>
    </row>
    <row r="17" spans="2:16" x14ac:dyDescent="0.25">
      <c r="B17" s="340"/>
      <c r="C17" s="340"/>
      <c r="D17" s="340"/>
      <c r="E17" s="340"/>
      <c r="F17" s="340"/>
      <c r="G17" s="340"/>
      <c r="H17" s="340"/>
      <c r="I17" s="340"/>
      <c r="J17" s="340"/>
      <c r="K17" s="340"/>
      <c r="L17" s="340"/>
      <c r="M17" s="340"/>
      <c r="N17" s="340"/>
      <c r="O17" s="340"/>
      <c r="P17" s="340"/>
    </row>
    <row r="18" spans="2:16" x14ac:dyDescent="0.25">
      <c r="B18" s="340"/>
      <c r="C18" s="340"/>
      <c r="D18" s="340"/>
      <c r="E18" s="340"/>
      <c r="F18" s="340"/>
      <c r="G18" s="340"/>
      <c r="H18" s="340"/>
      <c r="I18" s="340"/>
      <c r="J18" s="340"/>
      <c r="K18" s="340"/>
      <c r="L18" s="340"/>
      <c r="M18" s="340"/>
      <c r="N18" s="340"/>
      <c r="O18" s="340"/>
      <c r="P18" s="340"/>
    </row>
    <row r="19" spans="2:16" x14ac:dyDescent="0.25">
      <c r="B19" s="340"/>
      <c r="C19" s="340"/>
      <c r="D19" s="340"/>
      <c r="E19" s="340"/>
      <c r="F19" s="340"/>
      <c r="G19" s="340"/>
      <c r="H19" s="340"/>
      <c r="I19" s="340"/>
      <c r="J19" s="340"/>
      <c r="K19" s="340"/>
      <c r="L19" s="340"/>
      <c r="M19" s="340"/>
      <c r="N19" s="340"/>
      <c r="O19" s="340"/>
      <c r="P19" s="340"/>
    </row>
    <row r="20" spans="2:16" x14ac:dyDescent="0.25">
      <c r="B20" s="340"/>
      <c r="C20" s="340"/>
      <c r="D20" s="340"/>
      <c r="E20" s="340"/>
      <c r="F20" s="340"/>
      <c r="G20" s="340"/>
      <c r="H20" s="340"/>
      <c r="I20" s="340"/>
      <c r="J20" s="340"/>
      <c r="K20" s="340"/>
      <c r="L20" s="340"/>
      <c r="M20" s="340"/>
      <c r="N20" s="340"/>
      <c r="O20" s="340"/>
      <c r="P20" s="340"/>
    </row>
    <row r="21" spans="2:16" x14ac:dyDescent="0.25">
      <c r="B21" s="340"/>
      <c r="C21" s="340"/>
      <c r="D21" s="340"/>
      <c r="E21" s="340"/>
      <c r="F21" s="340"/>
      <c r="G21" s="340"/>
      <c r="H21" s="340"/>
      <c r="I21" s="340"/>
      <c r="J21" s="340"/>
      <c r="K21" s="340"/>
      <c r="L21" s="340"/>
      <c r="M21" s="340"/>
      <c r="N21" s="340"/>
      <c r="O21" s="340"/>
      <c r="P21" s="340"/>
    </row>
    <row r="22" spans="2:16" x14ac:dyDescent="0.25">
      <c r="B22" s="340"/>
      <c r="C22" s="340"/>
      <c r="D22" s="340"/>
      <c r="E22" s="340"/>
      <c r="F22" s="340"/>
      <c r="G22" s="340"/>
      <c r="H22" s="340"/>
      <c r="I22" s="340"/>
      <c r="J22" s="340"/>
      <c r="K22" s="340"/>
      <c r="L22" s="340"/>
      <c r="M22" s="340"/>
      <c r="N22" s="340"/>
      <c r="O22" s="340"/>
      <c r="P22" s="340"/>
    </row>
    <row r="23" spans="2:16" x14ac:dyDescent="0.25">
      <c r="B23" s="340"/>
      <c r="C23" s="340"/>
      <c r="D23" s="340"/>
      <c r="E23" s="340"/>
      <c r="F23" s="340"/>
      <c r="G23" s="340"/>
      <c r="H23" s="340"/>
      <c r="I23" s="340"/>
      <c r="J23" s="340"/>
      <c r="K23" s="340"/>
      <c r="L23" s="340"/>
      <c r="M23" s="340"/>
      <c r="N23" s="340"/>
      <c r="O23" s="340"/>
      <c r="P23" s="340"/>
    </row>
    <row r="24" spans="2:16" x14ac:dyDescent="0.25">
      <c r="B24" s="340"/>
      <c r="C24" s="340"/>
      <c r="D24" s="340"/>
      <c r="E24" s="340"/>
      <c r="F24" s="340"/>
      <c r="G24" s="340"/>
      <c r="H24" s="340"/>
      <c r="I24" s="340"/>
      <c r="J24" s="340"/>
      <c r="K24" s="340"/>
      <c r="L24" s="340"/>
      <c r="M24" s="340"/>
      <c r="N24" s="340"/>
      <c r="O24" s="340"/>
      <c r="P24" s="340"/>
    </row>
    <row r="25" spans="2:16" x14ac:dyDescent="0.25">
      <c r="B25" s="340"/>
      <c r="C25" s="340"/>
      <c r="D25" s="340"/>
      <c r="E25" s="340"/>
      <c r="F25" s="340"/>
      <c r="G25" s="340"/>
      <c r="H25" s="340"/>
      <c r="I25" s="340"/>
      <c r="J25" s="340"/>
      <c r="K25" s="340"/>
      <c r="L25" s="340"/>
      <c r="M25" s="340"/>
      <c r="N25" s="340"/>
      <c r="O25" s="340"/>
      <c r="P25" s="340"/>
    </row>
    <row r="26" spans="2:16" x14ac:dyDescent="0.25">
      <c r="B26" s="340"/>
      <c r="C26" s="340"/>
      <c r="D26" s="340"/>
      <c r="E26" s="340"/>
      <c r="F26" s="340"/>
      <c r="G26" s="340"/>
      <c r="H26" s="340"/>
      <c r="I26" s="340"/>
      <c r="J26" s="340"/>
      <c r="K26" s="340"/>
      <c r="L26" s="340"/>
      <c r="M26" s="340"/>
      <c r="N26" s="340"/>
      <c r="O26" s="340"/>
      <c r="P26" s="340"/>
    </row>
    <row r="27" spans="2:16" x14ac:dyDescent="0.25">
      <c r="B27" s="340"/>
      <c r="C27" s="340"/>
      <c r="D27" s="340"/>
      <c r="E27" s="340"/>
      <c r="F27" s="340"/>
      <c r="G27" s="340"/>
      <c r="H27" s="340"/>
      <c r="I27" s="340"/>
      <c r="J27" s="340"/>
      <c r="K27" s="340"/>
      <c r="L27" s="340"/>
      <c r="M27" s="340"/>
      <c r="N27" s="340"/>
      <c r="O27" s="340"/>
      <c r="P27" s="340"/>
    </row>
    <row r="28" spans="2:16" x14ac:dyDescent="0.25">
      <c r="B28" s="340"/>
      <c r="C28" s="340"/>
      <c r="D28" s="340"/>
      <c r="E28" s="340"/>
      <c r="F28" s="340"/>
      <c r="G28" s="340"/>
      <c r="H28" s="340"/>
      <c r="I28" s="340"/>
      <c r="J28" s="340"/>
      <c r="K28" s="340"/>
      <c r="L28" s="340"/>
      <c r="M28" s="340"/>
      <c r="N28" s="340"/>
      <c r="O28" s="340"/>
      <c r="P28" s="340"/>
    </row>
    <row r="29" spans="2:16" ht="23.25" customHeight="1" x14ac:dyDescent="0.25">
      <c r="B29" s="340"/>
      <c r="C29" s="2503" t="s">
        <v>278</v>
      </c>
      <c r="D29" s="2503"/>
      <c r="E29" s="2503"/>
      <c r="F29" s="2503"/>
      <c r="G29" s="2503"/>
      <c r="H29" s="2503"/>
      <c r="I29" s="2503"/>
      <c r="J29" s="2503"/>
      <c r="K29" s="2503"/>
      <c r="L29" s="2503"/>
      <c r="M29" s="2503"/>
      <c r="N29" s="2503"/>
      <c r="O29" s="2503"/>
      <c r="P29" s="340"/>
    </row>
    <row r="30" spans="2:16" ht="12.75" customHeight="1" x14ac:dyDescent="0.25">
      <c r="B30" s="340"/>
      <c r="C30" s="2503"/>
      <c r="D30" s="2503"/>
      <c r="E30" s="2503"/>
      <c r="F30" s="2503"/>
      <c r="G30" s="2503"/>
      <c r="H30" s="2503"/>
      <c r="I30" s="2503"/>
      <c r="J30" s="2503"/>
      <c r="K30" s="2503"/>
      <c r="L30" s="2503"/>
      <c r="M30" s="2503"/>
      <c r="N30" s="2503"/>
      <c r="O30" s="2503"/>
      <c r="P30" s="340"/>
    </row>
    <row r="31" spans="2:16" x14ac:dyDescent="0.25">
      <c r="B31" s="340"/>
      <c r="C31" s="403"/>
      <c r="D31" s="403"/>
      <c r="E31" s="403"/>
      <c r="F31" s="403"/>
      <c r="G31" s="403"/>
      <c r="H31" s="403"/>
      <c r="I31" s="403"/>
      <c r="J31" s="403"/>
      <c r="K31" s="403"/>
      <c r="L31" s="403"/>
      <c r="M31" s="403"/>
      <c r="N31" s="403"/>
      <c r="O31" s="403"/>
      <c r="P31" s="340"/>
    </row>
    <row r="32" spans="2:16" x14ac:dyDescent="0.25">
      <c r="B32" s="340"/>
      <c r="C32" s="403"/>
      <c r="D32" s="403"/>
      <c r="E32" s="403"/>
      <c r="F32" s="403"/>
      <c r="G32" s="403"/>
      <c r="H32" s="403"/>
      <c r="I32" s="403"/>
      <c r="J32" s="403"/>
      <c r="K32" s="403"/>
      <c r="L32" s="403"/>
      <c r="M32" s="403"/>
      <c r="N32" s="403"/>
      <c r="O32" s="403"/>
      <c r="P32" s="340"/>
    </row>
    <row r="33" spans="2:16" ht="12.75" customHeight="1" x14ac:dyDescent="0.25">
      <c r="B33" s="340"/>
      <c r="C33" s="403"/>
      <c r="D33" s="2504" t="s">
        <v>114</v>
      </c>
      <c r="E33" s="2504"/>
      <c r="F33" s="2504"/>
      <c r="G33" s="2504"/>
      <c r="H33" s="2504"/>
      <c r="I33" s="2504"/>
      <c r="J33" s="2504"/>
      <c r="K33" s="2504"/>
      <c r="L33" s="2504"/>
      <c r="M33" s="2504"/>
      <c r="N33" s="2504"/>
      <c r="O33" s="403"/>
      <c r="P33" s="340"/>
    </row>
    <row r="34" spans="2:16" ht="12.75" customHeight="1" x14ac:dyDescent="0.25">
      <c r="B34" s="340"/>
      <c r="C34" s="403"/>
      <c r="D34" s="2504"/>
      <c r="E34" s="2504"/>
      <c r="F34" s="2504"/>
      <c r="G34" s="2504"/>
      <c r="H34" s="2504"/>
      <c r="I34" s="2504"/>
      <c r="J34" s="2504"/>
      <c r="K34" s="2504"/>
      <c r="L34" s="2504"/>
      <c r="M34" s="2504"/>
      <c r="N34" s="2504"/>
      <c r="O34" s="403"/>
      <c r="P34" s="340"/>
    </row>
    <row r="35" spans="2:16" ht="12.75" customHeight="1" x14ac:dyDescent="0.25">
      <c r="B35" s="340"/>
      <c r="C35" s="403"/>
      <c r="D35" s="2504" t="s">
        <v>11</v>
      </c>
      <c r="E35" s="2504"/>
      <c r="F35" s="2504"/>
      <c r="G35" s="2504"/>
      <c r="H35" s="2504"/>
      <c r="I35" s="2504"/>
      <c r="J35" s="2504"/>
      <c r="K35" s="2504"/>
      <c r="L35" s="2504"/>
      <c r="M35" s="2504"/>
      <c r="N35" s="2504"/>
      <c r="O35" s="403"/>
      <c r="P35" s="340"/>
    </row>
    <row r="36" spans="2:16" ht="12.75" customHeight="1" x14ac:dyDescent="0.25">
      <c r="B36" s="340"/>
      <c r="C36" s="403"/>
      <c r="D36" s="2504"/>
      <c r="E36" s="2504"/>
      <c r="F36" s="2504"/>
      <c r="G36" s="2504"/>
      <c r="H36" s="2504"/>
      <c r="I36" s="2504"/>
      <c r="J36" s="2504"/>
      <c r="K36" s="2504"/>
      <c r="L36" s="2504"/>
      <c r="M36" s="2504"/>
      <c r="N36" s="2504"/>
      <c r="O36" s="403"/>
      <c r="P36" s="340"/>
    </row>
    <row r="37" spans="2:16" ht="12.75" customHeight="1" x14ac:dyDescent="0.25">
      <c r="B37" s="340"/>
      <c r="C37" s="404"/>
      <c r="D37" s="2504" t="s">
        <v>658</v>
      </c>
      <c r="E37" s="2504"/>
      <c r="F37" s="2504"/>
      <c r="G37" s="2504"/>
      <c r="H37" s="2504"/>
      <c r="I37" s="2504"/>
      <c r="J37" s="2504"/>
      <c r="K37" s="2504"/>
      <c r="L37" s="2504"/>
      <c r="M37" s="2504"/>
      <c r="N37" s="2504"/>
      <c r="O37" s="403"/>
      <c r="P37" s="340"/>
    </row>
    <row r="38" spans="2:16" ht="12.75" customHeight="1" x14ac:dyDescent="0.25">
      <c r="B38" s="340"/>
      <c r="C38" s="403"/>
      <c r="D38" s="2504"/>
      <c r="E38" s="2504"/>
      <c r="F38" s="2504"/>
      <c r="G38" s="2504"/>
      <c r="H38" s="2504"/>
      <c r="I38" s="2504"/>
      <c r="J38" s="2504"/>
      <c r="K38" s="2504"/>
      <c r="L38" s="2504"/>
      <c r="M38" s="2504"/>
      <c r="N38" s="2504"/>
      <c r="O38" s="403"/>
      <c r="P38" s="340"/>
    </row>
    <row r="39" spans="2:16" ht="12.75" customHeight="1" x14ac:dyDescent="0.25">
      <c r="B39" s="340"/>
      <c r="C39" s="403"/>
      <c r="D39" s="405"/>
      <c r="E39" s="405"/>
      <c r="F39" s="405"/>
      <c r="G39" s="405"/>
      <c r="H39" s="405"/>
      <c r="I39" s="405"/>
      <c r="J39" s="405"/>
      <c r="K39" s="405"/>
      <c r="L39" s="405"/>
      <c r="M39" s="405"/>
      <c r="N39" s="405"/>
      <c r="O39" s="403"/>
      <c r="P39" s="340"/>
    </row>
    <row r="40" spans="2:16" ht="12.75" customHeight="1" x14ac:dyDescent="0.25">
      <c r="B40" s="340"/>
      <c r="C40" s="403"/>
      <c r="D40" s="405"/>
      <c r="E40" s="405"/>
      <c r="F40" s="405"/>
      <c r="G40" s="405"/>
      <c r="H40" s="405"/>
      <c r="I40" s="405"/>
      <c r="J40" s="405"/>
      <c r="K40" s="405"/>
      <c r="L40" s="405"/>
      <c r="M40" s="405"/>
      <c r="N40" s="405"/>
      <c r="O40" s="403"/>
      <c r="P40" s="340"/>
    </row>
    <row r="41" spans="2:16" ht="12.75" customHeight="1" x14ac:dyDescent="0.25">
      <c r="B41" s="340"/>
      <c r="C41" s="403"/>
      <c r="D41" s="405"/>
      <c r="E41" s="405"/>
      <c r="F41" s="405"/>
      <c r="G41" s="405"/>
      <c r="H41" s="405"/>
      <c r="I41" s="405"/>
      <c r="J41" s="405"/>
      <c r="K41" s="405"/>
      <c r="L41" s="405"/>
      <c r="M41" s="405"/>
      <c r="N41" s="405"/>
      <c r="O41" s="403"/>
      <c r="P41" s="340"/>
    </row>
    <row r="42" spans="2:16" ht="12.75" customHeight="1" x14ac:dyDescent="0.25">
      <c r="B42" s="340"/>
      <c r="C42" s="403"/>
      <c r="D42" s="405"/>
      <c r="E42" s="405"/>
      <c r="F42" s="405"/>
      <c r="G42" s="405"/>
      <c r="H42" s="405"/>
      <c r="I42" s="405"/>
      <c r="J42" s="405"/>
      <c r="K42" s="405"/>
      <c r="L42" s="405"/>
      <c r="M42" s="405"/>
      <c r="N42" s="405"/>
      <c r="O42" s="403"/>
      <c r="P42" s="340"/>
    </row>
    <row r="43" spans="2:16" ht="12.75" customHeight="1" x14ac:dyDescent="0.25">
      <c r="B43" s="340"/>
      <c r="C43" s="403"/>
      <c r="D43" s="405"/>
      <c r="E43" s="405"/>
      <c r="F43" s="405"/>
      <c r="G43" s="405"/>
      <c r="H43" s="405"/>
      <c r="I43" s="405"/>
      <c r="J43" s="405"/>
      <c r="K43" s="405"/>
      <c r="L43" s="405"/>
      <c r="M43" s="405"/>
      <c r="N43" s="405"/>
      <c r="O43" s="403"/>
      <c r="P43" s="340"/>
    </row>
    <row r="44" spans="2:16" ht="13.5" customHeight="1" x14ac:dyDescent="0.25">
      <c r="B44" s="340"/>
      <c r="C44" s="403"/>
      <c r="D44" s="403"/>
      <c r="E44" s="403"/>
      <c r="F44" s="403"/>
      <c r="G44" s="403"/>
      <c r="H44" s="403"/>
      <c r="I44" s="403"/>
      <c r="J44" s="403"/>
      <c r="K44" s="403"/>
      <c r="L44" s="403"/>
      <c r="M44" s="403"/>
      <c r="N44" s="403"/>
      <c r="O44" s="403"/>
      <c r="P44" s="340"/>
    </row>
    <row r="45" spans="2:16" ht="24" customHeight="1" x14ac:dyDescent="0.25">
      <c r="B45" s="340"/>
      <c r="C45" s="403"/>
      <c r="D45" s="403"/>
      <c r="E45" s="403"/>
      <c r="F45" s="403"/>
      <c r="G45" s="403"/>
      <c r="H45" s="2499"/>
      <c r="I45" s="2499"/>
      <c r="J45" s="2499"/>
      <c r="K45" s="2499"/>
      <c r="L45" s="2499"/>
      <c r="M45" s="403"/>
      <c r="N45" s="403"/>
      <c r="O45" s="403"/>
      <c r="P45" s="340"/>
    </row>
    <row r="46" spans="2:16" ht="6" customHeight="1" x14ac:dyDescent="0.25">
      <c r="B46" s="340"/>
      <c r="C46" s="403"/>
      <c r="D46" s="2505" t="s">
        <v>348</v>
      </c>
      <c r="E46" s="2505"/>
      <c r="F46" s="2505"/>
      <c r="G46" s="2505"/>
      <c r="H46" s="2505"/>
      <c r="I46" s="2505"/>
      <c r="J46" s="2505"/>
      <c r="K46" s="2505"/>
      <c r="L46" s="2505"/>
      <c r="M46" s="2505"/>
      <c r="N46" s="2505"/>
      <c r="O46" s="403"/>
      <c r="P46" s="340"/>
    </row>
    <row r="47" spans="2:16" ht="3" customHeight="1" x14ac:dyDescent="0.25">
      <c r="B47" s="340"/>
      <c r="C47" s="403"/>
      <c r="D47" s="2505"/>
      <c r="E47" s="2505"/>
      <c r="F47" s="2505"/>
      <c r="G47" s="2505"/>
      <c r="H47" s="2505"/>
      <c r="I47" s="2505"/>
      <c r="J47" s="2505"/>
      <c r="K47" s="2505"/>
      <c r="L47" s="2505"/>
      <c r="M47" s="2505"/>
      <c r="N47" s="2505"/>
      <c r="O47" s="403"/>
      <c r="P47" s="340"/>
    </row>
    <row r="48" spans="2:16" ht="5.25" customHeight="1" x14ac:dyDescent="0.25">
      <c r="B48" s="340"/>
      <c r="C48" s="403"/>
      <c r="D48" s="2505"/>
      <c r="E48" s="2505"/>
      <c r="F48" s="2505"/>
      <c r="G48" s="2505"/>
      <c r="H48" s="2505"/>
      <c r="I48" s="2505"/>
      <c r="J48" s="2505"/>
      <c r="K48" s="2505"/>
      <c r="L48" s="2505"/>
      <c r="M48" s="2505"/>
      <c r="N48" s="2505"/>
      <c r="O48" s="403"/>
      <c r="P48" s="340"/>
    </row>
    <row r="49" spans="2:16" ht="12.75" hidden="1" customHeight="1" x14ac:dyDescent="0.25">
      <c r="B49" s="340"/>
      <c r="C49" s="403"/>
      <c r="D49" s="2505"/>
      <c r="E49" s="2505"/>
      <c r="F49" s="2505"/>
      <c r="G49" s="2505"/>
      <c r="H49" s="2505"/>
      <c r="I49" s="2505"/>
      <c r="J49" s="2505"/>
      <c r="K49" s="2505"/>
      <c r="L49" s="2505"/>
      <c r="M49" s="2505"/>
      <c r="N49" s="2505"/>
      <c r="O49" s="403"/>
      <c r="P49" s="340"/>
    </row>
    <row r="50" spans="2:16" ht="14.25" customHeight="1" x14ac:dyDescent="0.25">
      <c r="B50" s="340"/>
      <c r="C50" s="403"/>
      <c r="D50" s="2505"/>
      <c r="E50" s="2505"/>
      <c r="F50" s="2505"/>
      <c r="G50" s="2505"/>
      <c r="H50" s="2505"/>
      <c r="I50" s="2505"/>
      <c r="J50" s="2505"/>
      <c r="K50" s="2505"/>
      <c r="L50" s="2505"/>
      <c r="M50" s="2505"/>
      <c r="N50" s="2505"/>
      <c r="O50" s="403"/>
      <c r="P50" s="340"/>
    </row>
    <row r="51" spans="2:16" ht="12.75" customHeight="1" x14ac:dyDescent="0.25">
      <c r="B51" s="340"/>
      <c r="C51" s="403"/>
      <c r="D51" s="2505"/>
      <c r="E51" s="2505"/>
      <c r="F51" s="2505"/>
      <c r="G51" s="2505"/>
      <c r="H51" s="2505"/>
      <c r="I51" s="2505"/>
      <c r="J51" s="2505"/>
      <c r="K51" s="2505"/>
      <c r="L51" s="2505"/>
      <c r="M51" s="2505"/>
      <c r="N51" s="2505"/>
      <c r="O51" s="403"/>
      <c r="P51" s="340"/>
    </row>
    <row r="52" spans="2:16" ht="12.75" customHeight="1" x14ac:dyDescent="0.25">
      <c r="B52" s="340"/>
      <c r="C52" s="403"/>
      <c r="D52" s="2505"/>
      <c r="E52" s="2505"/>
      <c r="F52" s="2505"/>
      <c r="G52" s="2505"/>
      <c r="H52" s="2505"/>
      <c r="I52" s="2505"/>
      <c r="J52" s="2505"/>
      <c r="K52" s="2505"/>
      <c r="L52" s="2505"/>
      <c r="M52" s="2505"/>
      <c r="N52" s="2505"/>
      <c r="O52" s="403"/>
      <c r="P52" s="340"/>
    </row>
    <row r="53" spans="2:16" ht="12.75" customHeight="1" x14ac:dyDescent="0.25">
      <c r="B53" s="340"/>
      <c r="C53" s="403"/>
      <c r="D53" s="2505"/>
      <c r="E53" s="2505"/>
      <c r="F53" s="2505"/>
      <c r="G53" s="2505"/>
      <c r="H53" s="2505"/>
      <c r="I53" s="2505"/>
      <c r="J53" s="2505"/>
      <c r="K53" s="2505"/>
      <c r="L53" s="2505"/>
      <c r="M53" s="2505"/>
      <c r="N53" s="2505"/>
      <c r="O53" s="403"/>
      <c r="P53" s="340"/>
    </row>
    <row r="54" spans="2:16" ht="12.75" customHeight="1" x14ac:dyDescent="0.25">
      <c r="B54" s="340"/>
      <c r="C54" s="403"/>
      <c r="D54" s="406"/>
      <c r="E54" s="406"/>
      <c r="F54" s="406"/>
      <c r="G54" s="406"/>
      <c r="H54" s="406"/>
      <c r="I54" s="406"/>
      <c r="J54" s="406"/>
      <c r="K54" s="406"/>
      <c r="L54" s="406"/>
      <c r="M54" s="406"/>
      <c r="N54" s="406"/>
      <c r="O54" s="403"/>
      <c r="P54" s="340"/>
    </row>
    <row r="55" spans="2:16" ht="12.75" customHeight="1" x14ac:dyDescent="0.25">
      <c r="B55" s="340"/>
      <c r="C55" s="403"/>
      <c r="D55" s="406"/>
      <c r="E55" s="406"/>
      <c r="F55" s="406"/>
      <c r="G55" s="406"/>
      <c r="H55" s="406"/>
      <c r="I55" s="406"/>
      <c r="J55" s="406"/>
      <c r="K55" s="406"/>
      <c r="L55" s="406"/>
      <c r="M55" s="406"/>
      <c r="N55" s="406"/>
      <c r="O55" s="403"/>
      <c r="P55" s="340"/>
    </row>
    <row r="56" spans="2:16" x14ac:dyDescent="0.25">
      <c r="B56" s="340"/>
      <c r="C56" s="403"/>
      <c r="D56" s="2506" t="s">
        <v>657</v>
      </c>
      <c r="E56" s="2506"/>
      <c r="F56" s="2506"/>
      <c r="G56" s="2506"/>
      <c r="H56" s="2506"/>
      <c r="I56" s="2506"/>
      <c r="J56" s="2506"/>
      <c r="K56" s="2506"/>
      <c r="L56" s="2506"/>
      <c r="M56" s="2506"/>
      <c r="N56" s="2506"/>
      <c r="O56" s="403"/>
      <c r="P56" s="340"/>
    </row>
    <row r="57" spans="2:16" x14ac:dyDescent="0.25">
      <c r="B57" s="340"/>
      <c r="C57" s="403"/>
      <c r="D57" s="403"/>
      <c r="E57" s="403"/>
      <c r="F57" s="403"/>
      <c r="G57" s="403"/>
      <c r="H57" s="403"/>
      <c r="I57" s="403"/>
      <c r="J57" s="403"/>
      <c r="K57" s="403"/>
      <c r="L57" s="403"/>
      <c r="M57" s="403"/>
      <c r="N57" s="403"/>
      <c r="O57" s="403"/>
      <c r="P57" s="340"/>
    </row>
    <row r="58" spans="2:16" x14ac:dyDescent="0.25">
      <c r="B58" s="340"/>
      <c r="C58" s="403"/>
      <c r="D58" s="403"/>
      <c r="E58" s="403"/>
      <c r="F58" s="403"/>
      <c r="G58" s="403"/>
      <c r="H58" s="403"/>
      <c r="I58" s="403"/>
      <c r="J58" s="403"/>
      <c r="K58" s="403"/>
      <c r="L58" s="403"/>
      <c r="M58" s="403"/>
      <c r="N58" s="403"/>
      <c r="O58" s="403"/>
      <c r="P58" s="340"/>
    </row>
    <row r="59" spans="2:16" x14ac:dyDescent="0.25">
      <c r="B59" s="340"/>
      <c r="C59" s="403"/>
      <c r="D59" s="403"/>
      <c r="E59" s="403"/>
      <c r="F59" s="403"/>
      <c r="G59" s="403"/>
      <c r="H59" s="403"/>
      <c r="I59" s="403"/>
      <c r="J59" s="403"/>
      <c r="K59" s="403"/>
      <c r="L59" s="403"/>
      <c r="M59" s="403"/>
      <c r="N59" s="403"/>
      <c r="O59" s="403"/>
      <c r="P59" s="340"/>
    </row>
    <row r="60" spans="2:16" ht="12.75" customHeight="1" x14ac:dyDescent="0.25">
      <c r="B60" s="340"/>
      <c r="C60" s="403"/>
      <c r="D60" s="2500" t="s">
        <v>21</v>
      </c>
      <c r="E60" s="2500"/>
      <c r="F60" s="2500"/>
      <c r="G60" s="2500"/>
      <c r="H60" s="2500"/>
      <c r="I60" s="2501" t="s">
        <v>116</v>
      </c>
      <c r="J60" s="2500" t="s">
        <v>654</v>
      </c>
      <c r="K60" s="2500"/>
      <c r="L60" s="2500"/>
      <c r="M60" s="2500"/>
      <c r="N60" s="2500"/>
      <c r="O60" s="407"/>
      <c r="P60" s="340"/>
    </row>
    <row r="61" spans="2:16" ht="12.75" customHeight="1" x14ac:dyDescent="0.25">
      <c r="B61" s="340"/>
      <c r="C61" s="403"/>
      <c r="D61" s="2500"/>
      <c r="E61" s="2500"/>
      <c r="F61" s="2500"/>
      <c r="G61" s="2500"/>
      <c r="H61" s="2500"/>
      <c r="I61" s="2501"/>
      <c r="J61" s="2500"/>
      <c r="K61" s="2500"/>
      <c r="L61" s="2500"/>
      <c r="M61" s="2500"/>
      <c r="N61" s="2500"/>
      <c r="O61" s="407"/>
      <c r="P61" s="340"/>
    </row>
    <row r="62" spans="2:16" ht="17.5" x14ac:dyDescent="0.25">
      <c r="B62" s="340"/>
      <c r="C62" s="403"/>
      <c r="D62" s="408"/>
      <c r="E62" s="408"/>
      <c r="F62" s="408"/>
      <c r="G62" s="408"/>
      <c r="H62" s="407"/>
      <c r="I62" s="407"/>
      <c r="J62" s="407"/>
      <c r="K62" s="407"/>
      <c r="L62" s="407"/>
      <c r="M62" s="407"/>
      <c r="N62" s="407"/>
      <c r="O62" s="407"/>
      <c r="P62" s="340"/>
    </row>
    <row r="63" spans="2:16" ht="12.75" customHeight="1" x14ac:dyDescent="0.25">
      <c r="B63" s="340"/>
      <c r="C63" s="403"/>
      <c r="D63" s="2500" t="s">
        <v>22</v>
      </c>
      <c r="E63" s="2500"/>
      <c r="F63" s="2500"/>
      <c r="G63" s="2500"/>
      <c r="H63" s="2500"/>
      <c r="I63" s="2501" t="s">
        <v>116</v>
      </c>
      <c r="J63" s="2500" t="s">
        <v>656</v>
      </c>
      <c r="K63" s="2500"/>
      <c r="L63" s="2500"/>
      <c r="M63" s="2500"/>
      <c r="N63" s="2500"/>
      <c r="O63" s="407"/>
      <c r="P63" s="340"/>
    </row>
    <row r="64" spans="2:16" ht="12.75" customHeight="1" x14ac:dyDescent="0.25">
      <c r="B64" s="340"/>
      <c r="C64" s="403"/>
      <c r="D64" s="2500"/>
      <c r="E64" s="2500"/>
      <c r="F64" s="2500"/>
      <c r="G64" s="2500"/>
      <c r="H64" s="2500"/>
      <c r="I64" s="2501"/>
      <c r="J64" s="2500"/>
      <c r="K64" s="2500"/>
      <c r="L64" s="2500"/>
      <c r="M64" s="2500"/>
      <c r="N64" s="2500"/>
      <c r="O64" s="407"/>
      <c r="P64" s="340"/>
    </row>
    <row r="65" spans="2:19" ht="17.5" x14ac:dyDescent="0.25">
      <c r="B65" s="340"/>
      <c r="C65" s="403"/>
      <c r="D65" s="408"/>
      <c r="E65" s="408"/>
      <c r="F65" s="408"/>
      <c r="G65" s="408"/>
      <c r="H65" s="408"/>
      <c r="I65" s="407"/>
      <c r="J65" s="2500" t="s">
        <v>655</v>
      </c>
      <c r="K65" s="2500"/>
      <c r="L65" s="2500"/>
      <c r="M65" s="2500"/>
      <c r="N65" s="2500"/>
      <c r="O65" s="407"/>
      <c r="P65" s="340"/>
    </row>
    <row r="66" spans="2:19" ht="17.5" x14ac:dyDescent="0.25">
      <c r="B66" s="340"/>
      <c r="C66" s="403"/>
      <c r="D66" s="408"/>
      <c r="E66" s="408"/>
      <c r="F66" s="408"/>
      <c r="G66" s="408"/>
      <c r="H66" s="408"/>
      <c r="I66" s="407"/>
      <c r="J66" s="409"/>
      <c r="K66" s="409"/>
      <c r="L66" s="409"/>
      <c r="M66" s="409"/>
      <c r="N66" s="409"/>
      <c r="O66" s="407"/>
      <c r="P66" s="340"/>
    </row>
    <row r="67" spans="2:19" ht="12.75" customHeight="1" x14ac:dyDescent="0.25">
      <c r="B67" s="340"/>
      <c r="C67" s="403"/>
      <c r="D67" s="2500" t="s">
        <v>3</v>
      </c>
      <c r="E67" s="2500"/>
      <c r="F67" s="2500"/>
      <c r="G67" s="2500"/>
      <c r="H67" s="2500"/>
      <c r="I67" s="2501" t="s">
        <v>116</v>
      </c>
      <c r="J67" s="2502">
        <f>'RECAP APBD'!Q29</f>
        <v>8449917287</v>
      </c>
      <c r="K67" s="2502"/>
      <c r="L67" s="2502"/>
      <c r="M67" s="2502"/>
      <c r="N67" s="2502"/>
      <c r="O67" s="403"/>
      <c r="P67" s="340"/>
      <c r="S67" s="343"/>
    </row>
    <row r="68" spans="2:19" ht="12.75" customHeight="1" x14ac:dyDescent="0.25">
      <c r="B68" s="340"/>
      <c r="C68" s="403"/>
      <c r="D68" s="2500"/>
      <c r="E68" s="2500"/>
      <c r="F68" s="2500"/>
      <c r="G68" s="2500"/>
      <c r="H68" s="2500"/>
      <c r="I68" s="2501"/>
      <c r="J68" s="2502"/>
      <c r="K68" s="2502"/>
      <c r="L68" s="2502"/>
      <c r="M68" s="2502"/>
      <c r="N68" s="2502"/>
      <c r="O68" s="403"/>
      <c r="P68" s="340"/>
    </row>
    <row r="69" spans="2:19" x14ac:dyDescent="0.25">
      <c r="B69" s="340"/>
      <c r="C69" s="403"/>
      <c r="D69" s="403"/>
      <c r="E69" s="403"/>
      <c r="F69" s="403"/>
      <c r="G69" s="403"/>
      <c r="H69" s="403"/>
      <c r="I69" s="403"/>
      <c r="J69" s="403"/>
      <c r="K69" s="403"/>
      <c r="L69" s="403"/>
      <c r="M69" s="403"/>
      <c r="N69" s="403"/>
      <c r="O69" s="403"/>
      <c r="P69" s="340"/>
      <c r="S69" s="343"/>
    </row>
    <row r="70" spans="2:19" x14ac:dyDescent="0.25">
      <c r="B70" s="340"/>
      <c r="C70" s="340"/>
      <c r="D70" s="340"/>
      <c r="E70" s="340"/>
      <c r="F70" s="340"/>
      <c r="G70" s="340"/>
      <c r="H70" s="340"/>
      <c r="I70" s="340"/>
      <c r="J70" s="340"/>
      <c r="K70" s="340"/>
      <c r="L70" s="340"/>
      <c r="M70" s="340"/>
      <c r="N70" s="340"/>
      <c r="O70" s="340"/>
      <c r="P70" s="340"/>
    </row>
    <row r="71" spans="2:19" x14ac:dyDescent="0.25">
      <c r="B71" s="340"/>
      <c r="C71" s="340"/>
      <c r="D71" s="340"/>
      <c r="E71" s="340"/>
      <c r="F71" s="340"/>
      <c r="G71" s="340"/>
      <c r="H71" s="340"/>
      <c r="I71" s="340"/>
      <c r="J71" s="340"/>
      <c r="K71" s="340"/>
      <c r="L71" s="340"/>
      <c r="M71" s="340"/>
      <c r="N71" s="340"/>
      <c r="O71" s="340"/>
      <c r="P71" s="340"/>
    </row>
    <row r="72" spans="2:19" x14ac:dyDescent="0.25">
      <c r="B72" s="340"/>
      <c r="C72" s="340"/>
      <c r="D72" s="340"/>
      <c r="E72" s="340"/>
      <c r="F72" s="340"/>
      <c r="G72" s="340"/>
      <c r="H72" s="340"/>
      <c r="I72" s="340"/>
      <c r="J72" s="340"/>
      <c r="K72" s="340"/>
      <c r="L72" s="340"/>
      <c r="M72" s="340"/>
      <c r="N72" s="340"/>
      <c r="O72" s="340"/>
      <c r="P72" s="340"/>
    </row>
    <row r="73" spans="2:19" x14ac:dyDescent="0.25">
      <c r="B73" s="2498"/>
      <c r="C73" s="2498"/>
      <c r="D73" s="340"/>
      <c r="E73" s="340"/>
      <c r="F73" s="340"/>
      <c r="G73" s="340"/>
      <c r="H73" s="340"/>
      <c r="I73" s="340"/>
      <c r="J73" s="340"/>
      <c r="K73" s="340"/>
      <c r="L73" s="340"/>
      <c r="M73" s="340"/>
      <c r="N73" s="340"/>
      <c r="O73" s="2497"/>
      <c r="P73" s="2497"/>
    </row>
    <row r="74" spans="2:19" x14ac:dyDescent="0.25">
      <c r="B74" s="2498"/>
      <c r="C74" s="2498"/>
      <c r="D74" s="2498"/>
      <c r="E74" s="2498"/>
      <c r="F74" s="340"/>
      <c r="G74" s="340"/>
      <c r="H74" s="340"/>
      <c r="I74" s="340"/>
      <c r="J74" s="340"/>
      <c r="K74" s="340"/>
      <c r="L74" s="340"/>
      <c r="M74" s="340"/>
      <c r="N74" s="340"/>
      <c r="O74" s="340"/>
      <c r="P74" s="340"/>
    </row>
  </sheetData>
  <mergeCells count="20">
    <mergeCell ref="C29:O30"/>
    <mergeCell ref="D33:N34"/>
    <mergeCell ref="D35:N36"/>
    <mergeCell ref="D37:N38"/>
    <mergeCell ref="J65:N65"/>
    <mergeCell ref="D46:N53"/>
    <mergeCell ref="D60:H61"/>
    <mergeCell ref="I60:I61"/>
    <mergeCell ref="J60:N61"/>
    <mergeCell ref="D56:N56"/>
    <mergeCell ref="O73:P73"/>
    <mergeCell ref="B74:E74"/>
    <mergeCell ref="H45:L45"/>
    <mergeCell ref="D67:H68"/>
    <mergeCell ref="I67:I68"/>
    <mergeCell ref="J67:N68"/>
    <mergeCell ref="B73:C73"/>
    <mergeCell ref="D63:H64"/>
    <mergeCell ref="I63:I64"/>
    <mergeCell ref="J63:N64"/>
  </mergeCells>
  <phoneticPr fontId="15" type="noConversion"/>
  <pageMargins left="0.72" right="0.23622047244094491" top="0.66" bottom="0.19685039370078741" header="0.79" footer="0.19685039370078741"/>
  <pageSetup paperSize="5" scale="78"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78"/>
  <sheetViews>
    <sheetView view="pageBreakPreview" topLeftCell="A12" zoomScale="67" zoomScaleNormal="70" zoomScaleSheetLayoutView="100" workbookViewId="0">
      <selection activeCell="M35" sqref="M35"/>
    </sheetView>
  </sheetViews>
  <sheetFormatPr defaultColWidth="8.7265625" defaultRowHeight="12.5" x14ac:dyDescent="0.25"/>
  <cols>
    <col min="1" max="1" width="3.72656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0.81640625" style="341" customWidth="1"/>
    <col min="17" max="17" width="9" style="341" customWidth="1"/>
    <col min="18" max="18" width="8" style="341" customWidth="1"/>
    <col min="19" max="19" width="15.1796875" style="341" customWidth="1"/>
    <col min="20" max="20" width="21.72656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341</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247</v>
      </c>
      <c r="M9" s="2866" t="s">
        <v>78</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28.5" customHeight="1" x14ac:dyDescent="0.25">
      <c r="B16" s="2834" t="s">
        <v>14</v>
      </c>
      <c r="C16" s="2835"/>
      <c r="D16" s="2835"/>
      <c r="E16" s="2835"/>
      <c r="F16" s="2835"/>
      <c r="G16" s="2835"/>
      <c r="H16" s="2835"/>
      <c r="I16" s="2835"/>
      <c r="J16" s="2835"/>
      <c r="K16" s="2836"/>
      <c r="L16" s="734" t="s">
        <v>486</v>
      </c>
      <c r="M16" s="2507" t="str">
        <f>L16</f>
        <v>Persentase komponen instalasi listrik/penerangan bangunan kantor yang disediakan</v>
      </c>
      <c r="N16" s="2508"/>
      <c r="O16" s="2508"/>
      <c r="P16" s="2886"/>
      <c r="Q16" s="2830">
        <v>1</v>
      </c>
      <c r="R16" s="2616"/>
      <c r="S16" s="2616"/>
      <c r="T16" s="2831">
        <f>Q16</f>
        <v>1</v>
      </c>
      <c r="U16" s="2832"/>
      <c r="V16" s="2833"/>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5000000</v>
      </c>
      <c r="R17" s="2840"/>
      <c r="S17" s="2841"/>
      <c r="T17" s="2842">
        <f>T28</f>
        <v>2500000</v>
      </c>
      <c r="U17" s="2842"/>
      <c r="V17" s="2843"/>
    </row>
    <row r="18" spans="2:22" ht="27" customHeight="1" x14ac:dyDescent="0.25">
      <c r="B18" s="2834" t="s">
        <v>136</v>
      </c>
      <c r="C18" s="2835"/>
      <c r="D18" s="2835"/>
      <c r="E18" s="2835"/>
      <c r="F18" s="2835"/>
      <c r="G18" s="2835"/>
      <c r="H18" s="2835"/>
      <c r="I18" s="2835"/>
      <c r="J18" s="2835"/>
      <c r="K18" s="2836"/>
      <c r="L18" s="521" t="s">
        <v>487</v>
      </c>
      <c r="M18" s="2820" t="str">
        <f>L18</f>
        <v>Jumlah jenis Komponen Instalasi Listrik/Penerangan Bangunan Kantor yang disediakan</v>
      </c>
      <c r="N18" s="2820"/>
      <c r="O18" s="2820"/>
      <c r="P18" s="2820"/>
      <c r="Q18" s="2616" t="s">
        <v>485</v>
      </c>
      <c r="R18" s="2616"/>
      <c r="S18" s="2616"/>
      <c r="T18" s="2616" t="str">
        <f>Q18</f>
        <v>6 jenis</v>
      </c>
      <c r="U18" s="2616"/>
      <c r="V18" s="2837"/>
    </row>
    <row r="19" spans="2:22" ht="25.5" x14ac:dyDescent="0.3">
      <c r="B19" s="2817" t="s">
        <v>137</v>
      </c>
      <c r="C19" s="2818"/>
      <c r="D19" s="2818"/>
      <c r="E19" s="2818"/>
      <c r="F19" s="2818"/>
      <c r="G19" s="2818"/>
      <c r="H19" s="2818"/>
      <c r="I19" s="2818"/>
      <c r="J19" s="2818"/>
      <c r="K19" s="2819"/>
      <c r="L19" s="525" t="s">
        <v>478</v>
      </c>
      <c r="M19" s="2820" t="str">
        <f>L19</f>
        <v>Tingkat pelayanan administrasi perkantoran yang maksimal</v>
      </c>
      <c r="N19" s="2820"/>
      <c r="O19" s="2820"/>
      <c r="P19" s="2820"/>
      <c r="Q19" s="2821">
        <v>1</v>
      </c>
      <c r="R19" s="2822"/>
      <c r="S19" s="2822"/>
      <c r="T19" s="2821">
        <f>Q19</f>
        <v>1</v>
      </c>
      <c r="U19" s="2822"/>
      <c r="V19" s="2823"/>
    </row>
    <row r="20" spans="2:22" ht="14.25" customHeight="1" x14ac:dyDescent="0.3">
      <c r="B20" s="2824" t="s">
        <v>178</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700">
        <v>1</v>
      </c>
      <c r="C28" s="701" t="s">
        <v>239</v>
      </c>
      <c r="D28" s="701" t="s">
        <v>84</v>
      </c>
      <c r="E28" s="702"/>
      <c r="F28" s="703"/>
      <c r="G28" s="704">
        <v>5</v>
      </c>
      <c r="H28" s="704">
        <v>2</v>
      </c>
      <c r="I28" s="704"/>
      <c r="J28" s="704"/>
      <c r="K28" s="704"/>
      <c r="L28" s="705" t="s">
        <v>54</v>
      </c>
      <c r="M28" s="729"/>
      <c r="N28" s="729"/>
      <c r="O28" s="730"/>
      <c r="P28" s="555">
        <f>P29</f>
        <v>5000000</v>
      </c>
      <c r="Q28" s="729"/>
      <c r="R28" s="729"/>
      <c r="S28" s="730"/>
      <c r="T28" s="555">
        <f>T29</f>
        <v>2500000</v>
      </c>
      <c r="U28" s="526"/>
      <c r="V28" s="425"/>
    </row>
    <row r="29" spans="2:22" x14ac:dyDescent="0.25">
      <c r="B29" s="700">
        <v>1</v>
      </c>
      <c r="C29" s="701" t="s">
        <v>239</v>
      </c>
      <c r="D29" s="701" t="s">
        <v>84</v>
      </c>
      <c r="E29" s="708" t="s">
        <v>84</v>
      </c>
      <c r="F29" s="709"/>
      <c r="G29" s="704"/>
      <c r="H29" s="704"/>
      <c r="I29" s="704"/>
      <c r="J29" s="704"/>
      <c r="K29" s="704"/>
      <c r="L29" s="710" t="s">
        <v>110</v>
      </c>
      <c r="M29" s="706"/>
      <c r="N29" s="706"/>
      <c r="O29" s="707"/>
      <c r="P29" s="731">
        <f>P30</f>
        <v>5000000</v>
      </c>
      <c r="Q29" s="706"/>
      <c r="R29" s="706"/>
      <c r="S29" s="707"/>
      <c r="T29" s="731">
        <f>T30</f>
        <v>2500000</v>
      </c>
      <c r="U29" s="696"/>
      <c r="V29" s="697"/>
    </row>
    <row r="30" spans="2:22" ht="25" x14ac:dyDescent="0.25">
      <c r="B30" s="700">
        <v>1</v>
      </c>
      <c r="C30" s="701" t="s">
        <v>239</v>
      </c>
      <c r="D30" s="701" t="s">
        <v>84</v>
      </c>
      <c r="E30" s="708" t="s">
        <v>84</v>
      </c>
      <c r="F30" s="711">
        <v>12</v>
      </c>
      <c r="G30" s="704"/>
      <c r="H30" s="704"/>
      <c r="I30" s="704"/>
      <c r="J30" s="704"/>
      <c r="K30" s="701"/>
      <c r="L30" s="752" t="s">
        <v>988</v>
      </c>
      <c r="M30" s="754"/>
      <c r="N30" s="754"/>
      <c r="O30" s="755"/>
      <c r="P30" s="753">
        <f>P32</f>
        <v>5000000</v>
      </c>
      <c r="Q30" s="754"/>
      <c r="R30" s="754"/>
      <c r="S30" s="755"/>
      <c r="T30" s="753">
        <f>T32</f>
        <v>2500000</v>
      </c>
      <c r="U30" s="756"/>
      <c r="V30" s="439"/>
    </row>
    <row r="31" spans="2:22" x14ac:dyDescent="0.25">
      <c r="B31" s="700"/>
      <c r="C31" s="701"/>
      <c r="D31" s="701"/>
      <c r="E31" s="708"/>
      <c r="F31" s="711"/>
      <c r="G31" s="704"/>
      <c r="H31" s="704"/>
      <c r="I31" s="704"/>
      <c r="J31" s="704"/>
      <c r="K31" s="701"/>
      <c r="L31" s="710"/>
      <c r="M31" s="706"/>
      <c r="N31" s="706"/>
      <c r="O31" s="707"/>
      <c r="P31" s="732"/>
      <c r="Q31" s="706"/>
      <c r="R31" s="706"/>
      <c r="S31" s="707"/>
      <c r="T31" s="732"/>
      <c r="U31" s="698"/>
      <c r="V31" s="699"/>
    </row>
    <row r="32" spans="2:22" x14ac:dyDescent="0.25">
      <c r="B32" s="700">
        <v>1</v>
      </c>
      <c r="C32" s="701" t="s">
        <v>239</v>
      </c>
      <c r="D32" s="701" t="s">
        <v>84</v>
      </c>
      <c r="E32" s="708" t="s">
        <v>84</v>
      </c>
      <c r="F32" s="711">
        <v>12</v>
      </c>
      <c r="G32" s="704">
        <v>5</v>
      </c>
      <c r="H32" s="704">
        <v>2</v>
      </c>
      <c r="I32" s="704">
        <v>2</v>
      </c>
      <c r="J32" s="704"/>
      <c r="K32" s="704"/>
      <c r="L32" s="712" t="s">
        <v>64</v>
      </c>
      <c r="M32" s="571"/>
      <c r="N32" s="713"/>
      <c r="O32" s="714"/>
      <c r="P32" s="731">
        <f>P33</f>
        <v>5000000</v>
      </c>
      <c r="Q32" s="571"/>
      <c r="R32" s="713"/>
      <c r="S32" s="714"/>
      <c r="T32" s="731">
        <f>T33</f>
        <v>2500000</v>
      </c>
      <c r="U32" s="698"/>
      <c r="V32" s="699"/>
    </row>
    <row r="33" spans="2:23" x14ac:dyDescent="0.25">
      <c r="B33" s="700">
        <v>1</v>
      </c>
      <c r="C33" s="701" t="s">
        <v>239</v>
      </c>
      <c r="D33" s="701" t="s">
        <v>84</v>
      </c>
      <c r="E33" s="708" t="s">
        <v>84</v>
      </c>
      <c r="F33" s="711">
        <v>12</v>
      </c>
      <c r="G33" s="704">
        <v>5</v>
      </c>
      <c r="H33" s="704">
        <v>2</v>
      </c>
      <c r="I33" s="704">
        <v>2</v>
      </c>
      <c r="J33" s="701" t="s">
        <v>84</v>
      </c>
      <c r="K33" s="704"/>
      <c r="L33" s="715" t="s">
        <v>111</v>
      </c>
      <c r="M33" s="571"/>
      <c r="N33" s="713"/>
      <c r="O33" s="714"/>
      <c r="P33" s="733">
        <f>P34</f>
        <v>5000000</v>
      </c>
      <c r="Q33" s="571"/>
      <c r="R33" s="713"/>
      <c r="S33" s="714"/>
      <c r="T33" s="733">
        <f>T34</f>
        <v>2500000</v>
      </c>
      <c r="U33" s="698"/>
      <c r="V33" s="699"/>
    </row>
    <row r="34" spans="2:23" x14ac:dyDescent="0.25">
      <c r="B34" s="700">
        <v>1</v>
      </c>
      <c r="C34" s="701" t="s">
        <v>239</v>
      </c>
      <c r="D34" s="701" t="s">
        <v>84</v>
      </c>
      <c r="E34" s="708" t="s">
        <v>84</v>
      </c>
      <c r="F34" s="711">
        <v>12</v>
      </c>
      <c r="G34" s="704">
        <v>5</v>
      </c>
      <c r="H34" s="704">
        <v>2</v>
      </c>
      <c r="I34" s="704">
        <v>2</v>
      </c>
      <c r="J34" s="701" t="s">
        <v>84</v>
      </c>
      <c r="K34" s="701" t="s">
        <v>97</v>
      </c>
      <c r="L34" s="716" t="s">
        <v>171</v>
      </c>
      <c r="M34" s="571"/>
      <c r="N34" s="713"/>
      <c r="O34" s="714"/>
      <c r="P34" s="733">
        <f>SUM(P35:P40)</f>
        <v>5000000</v>
      </c>
      <c r="Q34" s="571"/>
      <c r="R34" s="713"/>
      <c r="S34" s="714"/>
      <c r="T34" s="733">
        <f>SUM(T35:T40)</f>
        <v>2500000</v>
      </c>
      <c r="U34" s="698"/>
      <c r="V34" s="699"/>
    </row>
    <row r="35" spans="2:23" x14ac:dyDescent="0.25">
      <c r="B35" s="700"/>
      <c r="C35" s="704"/>
      <c r="D35" s="704"/>
      <c r="E35" s="702"/>
      <c r="F35" s="709"/>
      <c r="G35" s="704"/>
      <c r="H35" s="704"/>
      <c r="I35" s="704"/>
      <c r="J35" s="704"/>
      <c r="K35" s="704"/>
      <c r="L35" s="717" t="s">
        <v>593</v>
      </c>
      <c r="M35" s="498">
        <v>30</v>
      </c>
      <c r="N35" s="713" t="s">
        <v>71</v>
      </c>
      <c r="O35" s="718">
        <v>45100</v>
      </c>
      <c r="P35" s="733">
        <f>O35*M35</f>
        <v>1353000</v>
      </c>
      <c r="Q35" s="498">
        <v>15</v>
      </c>
      <c r="R35" s="713" t="s">
        <v>71</v>
      </c>
      <c r="S35" s="718">
        <v>45100</v>
      </c>
      <c r="T35" s="733">
        <f>S35*Q35</f>
        <v>676500</v>
      </c>
      <c r="U35" s="698"/>
      <c r="V35" s="699"/>
    </row>
    <row r="36" spans="2:23" x14ac:dyDescent="0.25">
      <c r="B36" s="700"/>
      <c r="C36" s="704"/>
      <c r="D36" s="704"/>
      <c r="E36" s="702"/>
      <c r="F36" s="709"/>
      <c r="G36" s="704"/>
      <c r="H36" s="704"/>
      <c r="I36" s="704"/>
      <c r="J36" s="704"/>
      <c r="K36" s="704"/>
      <c r="L36" s="717" t="s">
        <v>594</v>
      </c>
      <c r="M36" s="498">
        <v>20</v>
      </c>
      <c r="N36" s="713" t="s">
        <v>71</v>
      </c>
      <c r="O36" s="718">
        <v>20950</v>
      </c>
      <c r="P36" s="733">
        <f t="shared" ref="P36:P40" si="0">O36*M36</f>
        <v>419000</v>
      </c>
      <c r="Q36" s="498">
        <v>10</v>
      </c>
      <c r="R36" s="713" t="s">
        <v>71</v>
      </c>
      <c r="S36" s="718">
        <v>20950</v>
      </c>
      <c r="T36" s="733">
        <f t="shared" ref="T36:T40" si="1">S36*Q36</f>
        <v>209500</v>
      </c>
      <c r="U36" s="698"/>
      <c r="V36" s="699"/>
    </row>
    <row r="37" spans="2:23" x14ac:dyDescent="0.25">
      <c r="B37" s="700"/>
      <c r="C37" s="704"/>
      <c r="D37" s="704"/>
      <c r="E37" s="702"/>
      <c r="F37" s="709"/>
      <c r="G37" s="704"/>
      <c r="H37" s="704"/>
      <c r="I37" s="704"/>
      <c r="J37" s="704"/>
      <c r="K37" s="704"/>
      <c r="L37" s="717" t="s">
        <v>595</v>
      </c>
      <c r="M37" s="719">
        <v>30</v>
      </c>
      <c r="N37" s="713" t="s">
        <v>71</v>
      </c>
      <c r="O37" s="718">
        <v>3100</v>
      </c>
      <c r="P37" s="733">
        <f t="shared" si="0"/>
        <v>93000</v>
      </c>
      <c r="Q37" s="719">
        <v>15</v>
      </c>
      <c r="R37" s="713" t="s">
        <v>71</v>
      </c>
      <c r="S37" s="718">
        <v>3100</v>
      </c>
      <c r="T37" s="733">
        <f t="shared" si="1"/>
        <v>46500</v>
      </c>
      <c r="U37" s="698"/>
      <c r="V37" s="697"/>
    </row>
    <row r="38" spans="2:23" x14ac:dyDescent="0.25">
      <c r="B38" s="700"/>
      <c r="C38" s="704"/>
      <c r="D38" s="704"/>
      <c r="E38" s="702"/>
      <c r="F38" s="709"/>
      <c r="G38" s="704"/>
      <c r="H38" s="704"/>
      <c r="I38" s="704"/>
      <c r="J38" s="704"/>
      <c r="K38" s="704"/>
      <c r="L38" s="717" t="s">
        <v>596</v>
      </c>
      <c r="M38" s="719">
        <v>30</v>
      </c>
      <c r="N38" s="713" t="s">
        <v>71</v>
      </c>
      <c r="O38" s="718">
        <v>3800</v>
      </c>
      <c r="P38" s="733">
        <f t="shared" si="0"/>
        <v>114000</v>
      </c>
      <c r="Q38" s="719">
        <v>15</v>
      </c>
      <c r="R38" s="713" t="s">
        <v>71</v>
      </c>
      <c r="S38" s="718">
        <v>3800</v>
      </c>
      <c r="T38" s="733">
        <f t="shared" si="1"/>
        <v>57000</v>
      </c>
      <c r="U38" s="527"/>
      <c r="V38" s="643"/>
    </row>
    <row r="39" spans="2:23" ht="14" x14ac:dyDescent="0.25">
      <c r="B39" s="720"/>
      <c r="C39" s="721"/>
      <c r="D39" s="721"/>
      <c r="E39" s="722"/>
      <c r="F39" s="723"/>
      <c r="G39" s="721"/>
      <c r="H39" s="721"/>
      <c r="I39" s="721"/>
      <c r="J39" s="721"/>
      <c r="K39" s="721"/>
      <c r="L39" s="717" t="s">
        <v>597</v>
      </c>
      <c r="M39" s="719">
        <v>30</v>
      </c>
      <c r="N39" s="713" t="s">
        <v>71</v>
      </c>
      <c r="O39" s="718">
        <v>5700</v>
      </c>
      <c r="P39" s="733">
        <f t="shared" si="0"/>
        <v>171000</v>
      </c>
      <c r="Q39" s="719">
        <v>15</v>
      </c>
      <c r="R39" s="713" t="s">
        <v>71</v>
      </c>
      <c r="S39" s="718">
        <v>5700</v>
      </c>
      <c r="T39" s="733">
        <f t="shared" si="1"/>
        <v>85500</v>
      </c>
      <c r="U39" s="698"/>
      <c r="V39" s="697"/>
    </row>
    <row r="40" spans="2:23" ht="14" x14ac:dyDescent="0.25">
      <c r="B40" s="724"/>
      <c r="C40" s="725"/>
      <c r="D40" s="725"/>
      <c r="E40" s="726"/>
      <c r="F40" s="727"/>
      <c r="G40" s="725"/>
      <c r="H40" s="725"/>
      <c r="I40" s="725"/>
      <c r="J40" s="725"/>
      <c r="K40" s="725"/>
      <c r="L40" s="728" t="s">
        <v>598</v>
      </c>
      <c r="M40" s="719">
        <v>300</v>
      </c>
      <c r="N40" s="713" t="s">
        <v>225</v>
      </c>
      <c r="O40" s="718">
        <v>9500</v>
      </c>
      <c r="P40" s="733">
        <f t="shared" si="0"/>
        <v>2850000</v>
      </c>
      <c r="Q40" s="719">
        <v>150</v>
      </c>
      <c r="R40" s="713" t="s">
        <v>225</v>
      </c>
      <c r="S40" s="718">
        <v>9500</v>
      </c>
      <c r="T40" s="733">
        <f t="shared" si="1"/>
        <v>1425000</v>
      </c>
      <c r="U40" s="698"/>
      <c r="V40" s="697"/>
    </row>
    <row r="41" spans="2:23" x14ac:dyDescent="0.25">
      <c r="B41" s="47"/>
      <c r="C41" s="6"/>
      <c r="D41" s="6"/>
      <c r="E41" s="48"/>
      <c r="F41" s="48"/>
      <c r="G41" s="5"/>
      <c r="H41" s="5"/>
      <c r="I41" s="116"/>
      <c r="J41" s="6"/>
      <c r="K41" s="6"/>
      <c r="L41" s="536"/>
      <c r="M41" s="596"/>
      <c r="N41" s="596"/>
      <c r="O41" s="597"/>
      <c r="P41" s="598"/>
      <c r="Q41" s="537"/>
      <c r="R41" s="537"/>
      <c r="S41" s="538"/>
      <c r="T41" s="539"/>
      <c r="U41" s="599"/>
      <c r="V41" s="600"/>
    </row>
    <row r="42" spans="2:23" ht="14.5" thickBot="1" x14ac:dyDescent="0.3">
      <c r="B42" s="2730" t="s">
        <v>15</v>
      </c>
      <c r="C42" s="2731"/>
      <c r="D42" s="2731"/>
      <c r="E42" s="2731"/>
      <c r="F42" s="2731"/>
      <c r="G42" s="2731"/>
      <c r="H42" s="2731"/>
      <c r="I42" s="2731"/>
      <c r="J42" s="2731"/>
      <c r="K42" s="2731"/>
      <c r="L42" s="2731"/>
      <c r="M42" s="2731"/>
      <c r="N42" s="2731"/>
      <c r="O42" s="2731"/>
      <c r="P42" s="436">
        <f>P28</f>
        <v>5000000</v>
      </c>
      <c r="Q42" s="2696"/>
      <c r="R42" s="2697"/>
      <c r="S42" s="2698"/>
      <c r="T42" s="437">
        <f>T28</f>
        <v>2500000</v>
      </c>
      <c r="U42" s="438">
        <f>SUM(U28:U40)</f>
        <v>0</v>
      </c>
      <c r="V42" s="439">
        <f>U42/P42*100</f>
        <v>0</v>
      </c>
    </row>
    <row r="43" spans="2:23" ht="13" thickTop="1" x14ac:dyDescent="0.25">
      <c r="B43" s="2699"/>
      <c r="C43" s="2700"/>
      <c r="D43" s="2700"/>
      <c r="E43" s="2700"/>
      <c r="F43" s="2700"/>
      <c r="G43" s="2700"/>
      <c r="H43" s="2700"/>
      <c r="I43" s="2700"/>
      <c r="J43" s="2700"/>
      <c r="K43" s="2700"/>
      <c r="L43" s="2700"/>
      <c r="M43" s="2700"/>
      <c r="N43" s="2700"/>
      <c r="O43" s="2700"/>
      <c r="P43" s="2700"/>
      <c r="Q43" s="2700"/>
      <c r="R43" s="2700"/>
      <c r="S43" s="2700"/>
      <c r="T43" s="2700"/>
      <c r="U43" s="2700"/>
      <c r="V43" s="2701"/>
    </row>
    <row r="44" spans="2:23" ht="12.75" customHeight="1" x14ac:dyDescent="0.25">
      <c r="B44" s="440"/>
      <c r="C44" s="20"/>
      <c r="D44" s="20"/>
      <c r="E44" s="20"/>
      <c r="F44" s="20"/>
      <c r="G44" s="20"/>
      <c r="H44" s="20"/>
      <c r="I44" s="20"/>
      <c r="J44" s="20"/>
      <c r="K44" s="20"/>
      <c r="L44" s="21"/>
      <c r="Q44" s="342"/>
      <c r="S44" s="2702" t="str">
        <f>'KOM, SDM&amp;Listrik '!S45:U45</f>
        <v>Banda Aceh,               2020</v>
      </c>
      <c r="T44" s="2702"/>
      <c r="U44" s="2702"/>
      <c r="V44" s="19"/>
      <c r="W44" s="100"/>
    </row>
    <row r="45" spans="2:23" x14ac:dyDescent="0.25">
      <c r="B45" s="440"/>
      <c r="C45" s="20"/>
      <c r="D45" s="20"/>
      <c r="E45" s="20"/>
      <c r="F45" s="20"/>
      <c r="G45" s="20"/>
      <c r="H45" s="20"/>
      <c r="I45" s="20"/>
      <c r="J45" s="20"/>
      <c r="K45" s="20"/>
      <c r="L45" s="333" t="str">
        <f>'KOM, SDM&amp;Listrik '!L46</f>
        <v>Mengesahkan,</v>
      </c>
      <c r="Q45" s="342"/>
      <c r="S45" s="2703" t="str">
        <f>'KOM, SDM&amp;Listrik '!S46:U46</f>
        <v>Pengguna Anggaran</v>
      </c>
      <c r="T45" s="2703"/>
      <c r="U45" s="2703"/>
      <c r="V45" s="44"/>
      <c r="W45" s="22"/>
    </row>
    <row r="46" spans="2:23" ht="12.75" customHeight="1" x14ac:dyDescent="0.25">
      <c r="B46" s="440"/>
      <c r="C46" s="20"/>
      <c r="D46" s="20"/>
      <c r="E46" s="20"/>
      <c r="F46" s="20"/>
      <c r="G46" s="20"/>
      <c r="H46" s="20"/>
      <c r="I46" s="20"/>
      <c r="J46" s="20"/>
      <c r="K46" s="20"/>
      <c r="L46" s="333" t="str">
        <f>'KOM, SDM&amp;Listrik '!L47</f>
        <v>Pejabat Pengelola Keuangan Daerah</v>
      </c>
      <c r="Q46" s="342"/>
      <c r="S46" s="2703" t="str">
        <f>'KOM, SDM&amp;Listrik '!S47:U47</f>
        <v xml:space="preserve"> Satuan Kerja Perangkat Daerah </v>
      </c>
      <c r="T46" s="2703"/>
      <c r="U46" s="2703"/>
      <c r="V46" s="44"/>
      <c r="W46" s="22"/>
    </row>
    <row r="47" spans="2:23" x14ac:dyDescent="0.25">
      <c r="B47" s="440"/>
      <c r="C47" s="20"/>
      <c r="D47" s="20"/>
      <c r="E47" s="20"/>
      <c r="F47" s="20"/>
      <c r="G47" s="20"/>
      <c r="H47" s="20"/>
      <c r="I47" s="20"/>
      <c r="J47" s="20"/>
      <c r="K47" s="20"/>
      <c r="L47" s="42"/>
      <c r="Q47" s="342"/>
      <c r="S47" s="113"/>
      <c r="T47" s="101"/>
      <c r="U47" s="101"/>
      <c r="V47" s="111"/>
      <c r="W47" s="102"/>
    </row>
    <row r="48" spans="2:23" x14ac:dyDescent="0.25">
      <c r="B48" s="440"/>
      <c r="C48" s="20"/>
      <c r="D48" s="20"/>
      <c r="E48" s="20"/>
      <c r="F48" s="20"/>
      <c r="G48" s="20"/>
      <c r="H48" s="20"/>
      <c r="I48" s="20"/>
      <c r="J48" s="20"/>
      <c r="K48" s="20"/>
      <c r="L48" s="42"/>
      <c r="Q48" s="342"/>
      <c r="S48" s="113"/>
      <c r="T48" s="113"/>
      <c r="U48" s="113"/>
      <c r="V48" s="114"/>
      <c r="W48" s="103"/>
    </row>
    <row r="49" spans="2:23" x14ac:dyDescent="0.25">
      <c r="B49" s="440"/>
      <c r="C49" s="20"/>
      <c r="D49" s="20"/>
      <c r="E49" s="20"/>
      <c r="F49" s="20"/>
      <c r="G49" s="20"/>
      <c r="H49" s="20"/>
      <c r="I49" s="20"/>
      <c r="J49" s="20"/>
      <c r="K49" s="20"/>
      <c r="L49" s="99"/>
      <c r="Q49" s="342"/>
      <c r="S49" s="113"/>
      <c r="T49" s="101"/>
      <c r="U49" s="101"/>
      <c r="V49" s="111"/>
      <c r="W49" s="102"/>
    </row>
    <row r="50" spans="2:23" ht="14" x14ac:dyDescent="0.3">
      <c r="B50" s="440"/>
      <c r="C50" s="20"/>
      <c r="D50" s="20"/>
      <c r="E50" s="20"/>
      <c r="F50" s="20"/>
      <c r="G50" s="20"/>
      <c r="H50" s="20"/>
      <c r="I50" s="20"/>
      <c r="J50" s="20"/>
      <c r="K50" s="20"/>
      <c r="L50" s="112" t="str">
        <f>'KOM, SDM&amp;Listrik '!L51</f>
        <v>M. Iqbal Rokan, S.STP.</v>
      </c>
      <c r="Q50" s="342"/>
      <c r="S50" s="2704" t="str">
        <f>'KOM, SDM&amp;Listrik '!S51:U51</f>
        <v>Bustami, SH</v>
      </c>
      <c r="T50" s="2704"/>
      <c r="U50" s="2704"/>
      <c r="V50" s="45"/>
      <c r="W50" s="104"/>
    </row>
    <row r="51" spans="2:23" x14ac:dyDescent="0.25">
      <c r="B51" s="440"/>
      <c r="C51" s="20"/>
      <c r="D51" s="20"/>
      <c r="E51" s="20"/>
      <c r="F51" s="20"/>
      <c r="G51" s="20"/>
      <c r="H51" s="20"/>
      <c r="I51" s="20"/>
      <c r="J51" s="20"/>
      <c r="K51" s="20"/>
      <c r="L51" s="333" t="str">
        <f>'KOM, SDM&amp;Listrik '!L52</f>
        <v>Nip. 19780505 199810 1 001</v>
      </c>
      <c r="Q51" s="342"/>
      <c r="S51" s="2703" t="str">
        <f>'KOM, SDM&amp;Listrik '!S52:U52</f>
        <v>Pembina Utama Muda / Nip. 196308241987031004</v>
      </c>
      <c r="T51" s="2703"/>
      <c r="U51" s="2703"/>
      <c r="V51" s="44"/>
      <c r="W51" s="22"/>
    </row>
    <row r="52" spans="2:23" x14ac:dyDescent="0.25">
      <c r="B52" s="440"/>
      <c r="C52" s="20"/>
      <c r="D52" s="20"/>
      <c r="E52" s="20"/>
      <c r="F52" s="20"/>
      <c r="G52" s="20"/>
      <c r="H52" s="20"/>
      <c r="I52" s="20"/>
      <c r="J52" s="20"/>
      <c r="K52" s="20"/>
      <c r="L52" s="333"/>
      <c r="Q52" s="342"/>
      <c r="S52" s="333"/>
      <c r="T52" s="333"/>
      <c r="U52" s="333"/>
      <c r="V52" s="441"/>
      <c r="W52" s="21"/>
    </row>
    <row r="53" spans="2:23" ht="14.25" customHeight="1" x14ac:dyDescent="0.25">
      <c r="B53" s="2705" t="s">
        <v>286</v>
      </c>
      <c r="C53" s="2706"/>
      <c r="D53" s="2706"/>
      <c r="E53" s="2706"/>
      <c r="F53" s="2706"/>
      <c r="G53" s="2706"/>
      <c r="H53" s="2706"/>
      <c r="I53" s="2706"/>
      <c r="J53" s="2706"/>
      <c r="K53" s="2706"/>
      <c r="L53" s="2706"/>
      <c r="M53" s="2707" t="s">
        <v>145</v>
      </c>
      <c r="N53" s="2708"/>
      <c r="O53" s="2708"/>
      <c r="P53" s="2708"/>
      <c r="Q53" s="2708"/>
      <c r="R53" s="2708"/>
      <c r="S53" s="2708"/>
      <c r="T53" s="2708"/>
      <c r="U53" s="2708"/>
      <c r="V53" s="2709"/>
    </row>
    <row r="54" spans="2:23" ht="14.25" customHeight="1" x14ac:dyDescent="0.3">
      <c r="B54" s="2710"/>
      <c r="C54" s="2711"/>
      <c r="D54" s="2711"/>
      <c r="E54" s="2711"/>
      <c r="F54" s="2711"/>
      <c r="G54" s="2711"/>
      <c r="H54" s="2711"/>
      <c r="I54" s="2711"/>
      <c r="J54" s="2711"/>
      <c r="K54" s="2711"/>
      <c r="L54" s="2712"/>
      <c r="M54" s="331" t="s">
        <v>142</v>
      </c>
      <c r="N54" s="2713"/>
      <c r="O54" s="2713"/>
      <c r="P54" s="2713"/>
      <c r="Q54" s="2714" t="s">
        <v>143</v>
      </c>
      <c r="R54" s="2714"/>
      <c r="S54" s="2714"/>
      <c r="T54" s="332" t="s">
        <v>144</v>
      </c>
      <c r="U54" s="2714" t="s">
        <v>146</v>
      </c>
      <c r="V54" s="2715"/>
    </row>
    <row r="55" spans="2:23" ht="14.25" customHeight="1" x14ac:dyDescent="0.3">
      <c r="B55" s="2716" t="s">
        <v>293</v>
      </c>
      <c r="C55" s="2717"/>
      <c r="D55" s="2717"/>
      <c r="E55" s="2717"/>
      <c r="F55" s="2717"/>
      <c r="G55" s="2717"/>
      <c r="H55" s="2717"/>
      <c r="I55" s="2717"/>
      <c r="J55" s="2717"/>
      <c r="K55" s="2717"/>
      <c r="L55" s="107">
        <v>0</v>
      </c>
      <c r="M55" s="118">
        <v>1</v>
      </c>
      <c r="N55" s="2718" t="str">
        <f>'KOM, SDM&amp;Listrik '!N56:P56</f>
        <v>Weri, SE. MA</v>
      </c>
      <c r="O55" s="2719"/>
      <c r="P55" s="2719"/>
      <c r="Q55" s="2720" t="str">
        <f>'KOM, SDM&amp;Listrik '!Q56:S56</f>
        <v>19640525 198903 1 026</v>
      </c>
      <c r="R55" s="2721"/>
      <c r="S55" s="2722"/>
      <c r="T55" s="109" t="s">
        <v>302</v>
      </c>
      <c r="U55" s="442" t="s">
        <v>287</v>
      </c>
      <c r="V55" s="443"/>
    </row>
    <row r="56" spans="2:23" ht="14" x14ac:dyDescent="0.3">
      <c r="B56" s="2716" t="s">
        <v>294</v>
      </c>
      <c r="C56" s="2717"/>
      <c r="D56" s="2717"/>
      <c r="E56" s="2717"/>
      <c r="F56" s="2717"/>
      <c r="G56" s="2717"/>
      <c r="H56" s="2717"/>
      <c r="I56" s="2717"/>
      <c r="J56" s="2717"/>
      <c r="K56" s="2717"/>
      <c r="L56" s="107">
        <v>0</v>
      </c>
      <c r="M56" s="118">
        <v>2</v>
      </c>
      <c r="N56" s="2723" t="str">
        <f>'KOM, SDM&amp;Listrik '!N57:P57</f>
        <v>Azmi, SH</v>
      </c>
      <c r="O56" s="2724"/>
      <c r="P56" s="2724"/>
      <c r="Q56" s="2720" t="str">
        <f>'KOM, SDM&amp;Listrik '!Q57:S57</f>
        <v>19680824 199903 1 004</v>
      </c>
      <c r="R56" s="2721"/>
      <c r="S56" s="2722"/>
      <c r="T56" s="109" t="s">
        <v>303</v>
      </c>
      <c r="U56" s="444"/>
      <c r="V56" s="445" t="s">
        <v>128</v>
      </c>
    </row>
    <row r="57" spans="2:23" ht="14" x14ac:dyDescent="0.3">
      <c r="B57" s="2716" t="s">
        <v>295</v>
      </c>
      <c r="C57" s="2717"/>
      <c r="D57" s="2717"/>
      <c r="E57" s="2717"/>
      <c r="F57" s="2717"/>
      <c r="G57" s="2717"/>
      <c r="H57" s="2717"/>
      <c r="I57" s="2717"/>
      <c r="J57" s="2717"/>
      <c r="K57" s="2717"/>
      <c r="L57" s="107">
        <v>0</v>
      </c>
      <c r="M57" s="117">
        <v>3</v>
      </c>
      <c r="N57" s="2723" t="str">
        <f>'KOM, SDM&amp;Listrik '!N58:P58</f>
        <v>Muhammad Syaifuddin Ambia, ST, MT</v>
      </c>
      <c r="O57" s="2724"/>
      <c r="P57" s="2724"/>
      <c r="Q57" s="2720" t="str">
        <f>'KOM, SDM&amp;Listrik '!Q58:S58</f>
        <v>19741010 200604 1 003</v>
      </c>
      <c r="R57" s="2721"/>
      <c r="S57" s="2722"/>
      <c r="T57" s="109" t="s">
        <v>304</v>
      </c>
      <c r="U57" s="446" t="s">
        <v>292</v>
      </c>
      <c r="V57" s="443"/>
    </row>
    <row r="58" spans="2:23" ht="15" customHeight="1" x14ac:dyDescent="0.3">
      <c r="B58" s="2716" t="s">
        <v>296</v>
      </c>
      <c r="C58" s="2717"/>
      <c r="D58" s="2717"/>
      <c r="E58" s="2717"/>
      <c r="F58" s="2717"/>
      <c r="G58" s="2717"/>
      <c r="H58" s="2717"/>
      <c r="I58" s="2717"/>
      <c r="J58" s="2717"/>
      <c r="K58" s="2717"/>
      <c r="L58" s="107">
        <v>0</v>
      </c>
      <c r="M58" s="118">
        <v>4</v>
      </c>
      <c r="N58" s="2723" t="str">
        <f>'KOM, SDM&amp;Listrik '!N59:P59</f>
        <v>Basri, SE, M.Si</v>
      </c>
      <c r="O58" s="2724"/>
      <c r="P58" s="2724"/>
      <c r="Q58" s="2720" t="str">
        <f>'KOM, SDM&amp;Listrik '!Q59:S59</f>
        <v>19691213 199403 1 002</v>
      </c>
      <c r="R58" s="2721"/>
      <c r="S58" s="2722"/>
      <c r="T58" s="109" t="s">
        <v>305</v>
      </c>
      <c r="U58" s="444"/>
      <c r="V58" s="445" t="s">
        <v>288</v>
      </c>
    </row>
    <row r="59" spans="2:23" ht="14" x14ac:dyDescent="0.3">
      <c r="B59" s="2716" t="s">
        <v>297</v>
      </c>
      <c r="C59" s="2717"/>
      <c r="D59" s="2717"/>
      <c r="E59" s="2717"/>
      <c r="F59" s="2717"/>
      <c r="G59" s="2717"/>
      <c r="H59" s="2717"/>
      <c r="I59" s="2717"/>
      <c r="J59" s="2717"/>
      <c r="K59" s="2717"/>
      <c r="L59" s="108">
        <f>SUM(L55:L58)</f>
        <v>0</v>
      </c>
      <c r="M59" s="105">
        <v>5</v>
      </c>
      <c r="N59" s="2723" t="str">
        <f>'KOM, SDM&amp;Listrik '!N60:P60</f>
        <v>Dewi Shinta Reza, SE. Ak</v>
      </c>
      <c r="O59" s="2724"/>
      <c r="P59" s="2724"/>
      <c r="Q59" s="2720" t="str">
        <f>'KOM, SDM&amp;Listrik '!Q60:S60</f>
        <v>19750630 200212 2 003</v>
      </c>
      <c r="R59" s="2721"/>
      <c r="S59" s="2722"/>
      <c r="T59" s="109" t="s">
        <v>306</v>
      </c>
      <c r="U59" s="446" t="s">
        <v>289</v>
      </c>
      <c r="V59" s="443"/>
    </row>
    <row r="60" spans="2:23" ht="13.5" customHeight="1" x14ac:dyDescent="0.3">
      <c r="B60" s="2710"/>
      <c r="C60" s="2711"/>
      <c r="D60" s="2711"/>
      <c r="E60" s="2711"/>
      <c r="F60" s="2711"/>
      <c r="G60" s="2711"/>
      <c r="H60" s="2711"/>
      <c r="I60" s="2711"/>
      <c r="J60" s="2711"/>
      <c r="K60" s="2711"/>
      <c r="L60" s="2712"/>
      <c r="M60" s="105">
        <v>6</v>
      </c>
      <c r="N60" s="2718" t="str">
        <f>'KOM, SDM&amp;Listrik '!N61:P61</f>
        <v>Harisman, S.STP, M.Ec.Dev</v>
      </c>
      <c r="O60" s="2719"/>
      <c r="P60" s="2719"/>
      <c r="Q60" s="2720" t="str">
        <f>'KOM, SDM&amp;Listrik '!Q61:S61</f>
        <v>19830101 200112 1 003</v>
      </c>
      <c r="R60" s="2721"/>
      <c r="S60" s="2722"/>
      <c r="T60" s="109" t="s">
        <v>307</v>
      </c>
      <c r="U60" s="444"/>
      <c r="V60" s="445" t="s">
        <v>290</v>
      </c>
    </row>
    <row r="61" spans="2:23" ht="14.5" thickBot="1" x14ac:dyDescent="0.35">
      <c r="B61" s="2725"/>
      <c r="C61" s="2726"/>
      <c r="D61" s="2726"/>
      <c r="E61" s="2726"/>
      <c r="F61" s="2726"/>
      <c r="G61" s="2726"/>
      <c r="H61" s="2726"/>
      <c r="I61" s="2726"/>
      <c r="J61" s="2726"/>
      <c r="K61" s="2726"/>
      <c r="L61" s="2727"/>
      <c r="M61" s="106">
        <v>7</v>
      </c>
      <c r="N61" s="2728" t="str">
        <f>'KOM, SDM&amp;Listrik '!N62:P62</f>
        <v>Alriandi, S.STP, M.Si</v>
      </c>
      <c r="O61" s="2729"/>
      <c r="P61" s="2729"/>
      <c r="Q61" s="2733" t="str">
        <f>'KOM, SDM&amp;Listrik '!Q62:S62</f>
        <v>19830308 200112 1 001</v>
      </c>
      <c r="R61" s="2734"/>
      <c r="S61" s="2735"/>
      <c r="T61" s="110" t="s">
        <v>308</v>
      </c>
      <c r="U61" s="447" t="s">
        <v>291</v>
      </c>
      <c r="V61" s="448"/>
    </row>
    <row r="62" spans="2:23" ht="13" thickTop="1" x14ac:dyDescent="0.25">
      <c r="B62" s="342"/>
      <c r="C62" s="342"/>
      <c r="D62" s="342"/>
      <c r="E62" s="342"/>
      <c r="F62" s="342"/>
      <c r="G62" s="342"/>
      <c r="H62" s="342"/>
      <c r="I62" s="342"/>
      <c r="J62" s="342"/>
      <c r="K62" s="342"/>
      <c r="L62" s="342"/>
      <c r="M62" s="342"/>
      <c r="N62" s="342"/>
      <c r="O62" s="342"/>
      <c r="P62" s="342"/>
    </row>
    <row r="63" spans="2:23" x14ac:dyDescent="0.25">
      <c r="B63" s="342"/>
      <c r="C63" s="342"/>
      <c r="D63" s="342"/>
      <c r="E63" s="342"/>
      <c r="F63" s="342"/>
      <c r="G63" s="342"/>
      <c r="H63" s="342"/>
      <c r="I63" s="342"/>
      <c r="J63" s="342"/>
      <c r="K63" s="342"/>
      <c r="L63" s="342"/>
      <c r="M63" s="342"/>
      <c r="N63" s="342"/>
      <c r="O63" s="342"/>
      <c r="P63" s="342"/>
    </row>
    <row r="64" spans="2:23" x14ac:dyDescent="0.25">
      <c r="B64" s="342"/>
      <c r="C64" s="342"/>
      <c r="D64" s="342"/>
      <c r="E64" s="342"/>
      <c r="F64" s="342"/>
      <c r="G64" s="342"/>
      <c r="H64" s="342"/>
      <c r="I64" s="342"/>
      <c r="J64" s="342"/>
      <c r="K64" s="342"/>
      <c r="L64" s="342"/>
      <c r="M64" s="342"/>
      <c r="N64" s="342"/>
      <c r="O64" s="342"/>
      <c r="P64" s="342"/>
    </row>
    <row r="65" spans="2:16" x14ac:dyDescent="0.25">
      <c r="B65" s="342"/>
      <c r="C65" s="342"/>
      <c r="D65" s="342"/>
      <c r="E65" s="342"/>
      <c r="F65" s="342"/>
      <c r="G65" s="342"/>
      <c r="H65" s="342"/>
      <c r="I65" s="342"/>
      <c r="J65" s="342"/>
      <c r="K65" s="342"/>
      <c r="L65" s="342"/>
      <c r="M65" s="342"/>
      <c r="N65" s="342"/>
      <c r="O65" s="342"/>
      <c r="P65" s="342"/>
    </row>
    <row r="66" spans="2:16" x14ac:dyDescent="0.25">
      <c r="B66" s="342"/>
      <c r="C66" s="342"/>
      <c r="D66" s="342"/>
      <c r="E66" s="342"/>
      <c r="F66" s="342"/>
      <c r="G66" s="342"/>
      <c r="H66" s="342"/>
      <c r="I66" s="342"/>
      <c r="J66" s="342"/>
      <c r="K66" s="342"/>
      <c r="L66" s="342"/>
      <c r="M66" s="342"/>
      <c r="N66" s="342"/>
      <c r="O66" s="342"/>
      <c r="P66" s="342"/>
    </row>
    <row r="67" spans="2:16" x14ac:dyDescent="0.25">
      <c r="B67" s="342"/>
      <c r="C67" s="342"/>
      <c r="D67" s="342"/>
      <c r="E67" s="342"/>
      <c r="F67" s="342"/>
      <c r="G67" s="342"/>
      <c r="H67" s="342"/>
      <c r="I67" s="342"/>
      <c r="J67" s="342"/>
      <c r="K67" s="342"/>
      <c r="L67" s="342"/>
      <c r="M67" s="342"/>
      <c r="N67" s="342"/>
      <c r="O67" s="342"/>
      <c r="P67" s="342"/>
    </row>
    <row r="68" spans="2:16" x14ac:dyDescent="0.25">
      <c r="B68" s="342"/>
      <c r="C68" s="342"/>
      <c r="D68" s="342"/>
      <c r="E68" s="342"/>
      <c r="F68" s="342"/>
      <c r="G68" s="342"/>
      <c r="H68" s="342"/>
      <c r="I68" s="342"/>
      <c r="J68" s="342"/>
      <c r="K68" s="342"/>
      <c r="L68" s="342"/>
      <c r="M68" s="342"/>
      <c r="N68" s="342"/>
      <c r="O68" s="342"/>
      <c r="P68" s="342"/>
    </row>
    <row r="69" spans="2:16" x14ac:dyDescent="0.25">
      <c r="B69" s="342"/>
      <c r="C69" s="342"/>
      <c r="D69" s="342"/>
      <c r="E69" s="342"/>
      <c r="F69" s="342"/>
      <c r="G69" s="342"/>
      <c r="H69" s="342"/>
      <c r="I69" s="342"/>
      <c r="J69" s="342"/>
      <c r="K69" s="342"/>
      <c r="L69" s="342"/>
      <c r="M69" s="342"/>
      <c r="N69" s="342"/>
      <c r="O69" s="342"/>
      <c r="P69" s="342"/>
    </row>
    <row r="70" spans="2:16" x14ac:dyDescent="0.25">
      <c r="B70" s="342"/>
      <c r="C70" s="342"/>
      <c r="D70" s="342"/>
      <c r="E70" s="342"/>
      <c r="F70" s="342"/>
      <c r="G70" s="342"/>
      <c r="H70" s="342"/>
      <c r="I70" s="342"/>
      <c r="J70" s="342"/>
      <c r="K70" s="342"/>
      <c r="L70" s="342"/>
      <c r="M70" s="342"/>
      <c r="N70" s="342"/>
      <c r="O70" s="342"/>
      <c r="P70" s="342"/>
    </row>
    <row r="71" spans="2:16" x14ac:dyDescent="0.25">
      <c r="B71" s="342"/>
      <c r="C71" s="342"/>
      <c r="D71" s="342"/>
      <c r="E71" s="342"/>
      <c r="F71" s="342"/>
      <c r="G71" s="342"/>
      <c r="H71" s="342"/>
      <c r="I71" s="342"/>
      <c r="J71" s="342"/>
      <c r="K71" s="342"/>
      <c r="L71" s="342"/>
      <c r="M71" s="342"/>
      <c r="N71" s="342"/>
      <c r="O71" s="342"/>
      <c r="P71" s="342"/>
    </row>
    <row r="72" spans="2:16" x14ac:dyDescent="0.25">
      <c r="B72" s="342"/>
      <c r="C72" s="342"/>
      <c r="D72" s="342"/>
      <c r="E72" s="342"/>
      <c r="F72" s="342"/>
      <c r="G72" s="342"/>
      <c r="H72" s="342"/>
      <c r="I72" s="342"/>
      <c r="J72" s="342"/>
      <c r="K72" s="342"/>
      <c r="L72" s="342"/>
      <c r="M72" s="342"/>
      <c r="N72" s="342"/>
      <c r="O72" s="342"/>
      <c r="P72" s="342"/>
    </row>
    <row r="73" spans="2:16" x14ac:dyDescent="0.25">
      <c r="B73" s="342"/>
      <c r="C73" s="342"/>
      <c r="D73" s="342"/>
      <c r="E73" s="342"/>
      <c r="F73" s="342"/>
      <c r="G73" s="342"/>
      <c r="H73" s="342"/>
      <c r="I73" s="342"/>
      <c r="J73" s="342"/>
      <c r="K73" s="342"/>
      <c r="L73" s="342"/>
      <c r="M73" s="342"/>
      <c r="N73" s="342"/>
      <c r="O73" s="342"/>
      <c r="P73" s="342"/>
    </row>
    <row r="74" spans="2:16" x14ac:dyDescent="0.25">
      <c r="B74" s="342"/>
      <c r="C74" s="342"/>
      <c r="D74" s="342"/>
      <c r="E74" s="342"/>
      <c r="F74" s="342"/>
      <c r="G74" s="342"/>
      <c r="H74" s="342"/>
      <c r="I74" s="342"/>
      <c r="J74" s="342"/>
      <c r="K74" s="342"/>
      <c r="L74" s="342"/>
      <c r="M74" s="342"/>
      <c r="N74" s="342"/>
      <c r="O74" s="342"/>
      <c r="P74" s="342"/>
    </row>
    <row r="75" spans="2:16" x14ac:dyDescent="0.25">
      <c r="B75" s="342"/>
      <c r="C75" s="342"/>
      <c r="D75" s="342"/>
      <c r="E75" s="342"/>
      <c r="F75" s="342"/>
      <c r="G75" s="342"/>
      <c r="H75" s="342"/>
      <c r="I75" s="342"/>
      <c r="J75" s="342"/>
      <c r="K75" s="342"/>
      <c r="L75" s="342"/>
      <c r="M75" s="342"/>
      <c r="N75" s="342"/>
      <c r="O75" s="342"/>
      <c r="P75" s="342"/>
    </row>
    <row r="76" spans="2:16" x14ac:dyDescent="0.25">
      <c r="B76" s="342"/>
      <c r="C76" s="342"/>
      <c r="D76" s="342"/>
      <c r="E76" s="342"/>
      <c r="F76" s="342"/>
      <c r="G76" s="342"/>
      <c r="H76" s="342"/>
      <c r="I76" s="342"/>
      <c r="J76" s="342"/>
      <c r="K76" s="342"/>
      <c r="L76" s="342"/>
      <c r="M76" s="342"/>
      <c r="N76" s="342"/>
      <c r="O76" s="342"/>
      <c r="P76" s="342"/>
    </row>
    <row r="77" spans="2:16" x14ac:dyDescent="0.25">
      <c r="B77" s="342"/>
      <c r="C77" s="342"/>
      <c r="D77" s="342"/>
      <c r="E77" s="342"/>
      <c r="F77" s="342"/>
      <c r="G77" s="342"/>
      <c r="H77" s="342"/>
      <c r="I77" s="342"/>
      <c r="J77" s="342"/>
      <c r="K77" s="342"/>
      <c r="L77" s="342"/>
      <c r="M77" s="342"/>
      <c r="N77" s="342"/>
      <c r="O77" s="342"/>
      <c r="P77" s="342"/>
    </row>
    <row r="78" spans="2:16" x14ac:dyDescent="0.25">
      <c r="B78" s="342"/>
      <c r="C78" s="342"/>
      <c r="D78" s="342"/>
      <c r="E78" s="342"/>
      <c r="F78" s="342"/>
      <c r="G78" s="342"/>
      <c r="H78" s="342"/>
      <c r="I78" s="342"/>
      <c r="J78" s="342"/>
      <c r="K78" s="342"/>
      <c r="L78" s="342"/>
      <c r="M78" s="342"/>
      <c r="N78" s="342"/>
      <c r="O78" s="342"/>
      <c r="P78"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53:L53"/>
    <mergeCell ref="M53:V53"/>
    <mergeCell ref="B27:K27"/>
    <mergeCell ref="B42:O42"/>
    <mergeCell ref="Q42:S42"/>
    <mergeCell ref="B43:V43"/>
    <mergeCell ref="S44:U44"/>
    <mergeCell ref="S45:U45"/>
    <mergeCell ref="S46:U46"/>
    <mergeCell ref="S50:U50"/>
    <mergeCell ref="S51:U51"/>
    <mergeCell ref="B54:L54"/>
    <mergeCell ref="N54:P54"/>
    <mergeCell ref="Q54:S54"/>
    <mergeCell ref="U54:V54"/>
    <mergeCell ref="B55:K55"/>
    <mergeCell ref="N55:P55"/>
    <mergeCell ref="Q55:S55"/>
    <mergeCell ref="B56:K56"/>
    <mergeCell ref="N56:P56"/>
    <mergeCell ref="Q56:S56"/>
    <mergeCell ref="B57:K57"/>
    <mergeCell ref="N57:P57"/>
    <mergeCell ref="Q57:S57"/>
    <mergeCell ref="B58:K58"/>
    <mergeCell ref="N58:P58"/>
    <mergeCell ref="Q58:S58"/>
    <mergeCell ref="B59:K59"/>
    <mergeCell ref="N59:P59"/>
    <mergeCell ref="Q59:S59"/>
    <mergeCell ref="B60:L60"/>
    <mergeCell ref="N60:P60"/>
    <mergeCell ref="Q60:S60"/>
    <mergeCell ref="B61:L61"/>
    <mergeCell ref="N61:P61"/>
    <mergeCell ref="Q61:S61"/>
  </mergeCells>
  <pageMargins left="0.511811023622047" right="1.0255905510000001" top="0.511811023622047" bottom="0.47244094488188998" header="0.31496062992126" footer="0.31496062992126"/>
  <pageSetup paperSize="5" scale="70" orientation="landscape"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X73"/>
  <sheetViews>
    <sheetView view="pageBreakPreview" topLeftCell="A17" zoomScale="60" zoomScaleNormal="70" zoomScaleSheetLayoutView="100" workbookViewId="0">
      <selection activeCell="L30" sqref="L30"/>
    </sheetView>
  </sheetViews>
  <sheetFormatPr defaultColWidth="8.7265625" defaultRowHeight="12.5" x14ac:dyDescent="0.25"/>
  <cols>
    <col min="1" max="1" width="3.4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6328125" style="341" customWidth="1"/>
    <col min="17" max="17" width="9" style="341" customWidth="1"/>
    <col min="18" max="18" width="8" style="341" customWidth="1"/>
    <col min="19" max="19" width="15.1796875" style="341" customWidth="1"/>
    <col min="20" max="20" width="26"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340</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248</v>
      </c>
      <c r="M9" s="2866" t="s">
        <v>79</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1" t="s">
        <v>488</v>
      </c>
      <c r="M16" s="2827" t="str">
        <f>L16</f>
        <v>Persentase makanan dan minuman yang disediakan</v>
      </c>
      <c r="N16" s="2828"/>
      <c r="O16" s="2828"/>
      <c r="P16" s="2829"/>
      <c r="Q16" s="2821">
        <v>0.4</v>
      </c>
      <c r="R16" s="2822"/>
      <c r="S16" s="2822"/>
      <c r="T16" s="2872">
        <f>Q16</f>
        <v>0.4</v>
      </c>
      <c r="U16" s="2873"/>
      <c r="V16" s="2874"/>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57190000</v>
      </c>
      <c r="R17" s="2840"/>
      <c r="S17" s="2841"/>
      <c r="T17" s="2842">
        <f>T28</f>
        <v>57190000</v>
      </c>
      <c r="U17" s="2842"/>
      <c r="V17" s="2843"/>
    </row>
    <row r="18" spans="2:22" ht="14" x14ac:dyDescent="0.25">
      <c r="B18" s="2834" t="s">
        <v>136</v>
      </c>
      <c r="C18" s="2835"/>
      <c r="D18" s="2835"/>
      <c r="E18" s="2835"/>
      <c r="F18" s="2835"/>
      <c r="G18" s="2835"/>
      <c r="H18" s="2835"/>
      <c r="I18" s="2835"/>
      <c r="J18" s="2835"/>
      <c r="K18" s="2836"/>
      <c r="L18" s="521" t="s">
        <v>489</v>
      </c>
      <c r="M18" s="2820" t="str">
        <f>L18</f>
        <v>Jumlah porsi makanan dan minuman yang disediakan</v>
      </c>
      <c r="N18" s="2820"/>
      <c r="O18" s="2820"/>
      <c r="P18" s="2820"/>
      <c r="Q18" s="2616" t="s">
        <v>599</v>
      </c>
      <c r="R18" s="2616"/>
      <c r="S18" s="2616"/>
      <c r="T18" s="2616" t="str">
        <f>Q18</f>
        <v>2.904 porsi</v>
      </c>
      <c r="U18" s="2616"/>
      <c r="V18" s="2837"/>
    </row>
    <row r="19" spans="2:22" ht="25.5" x14ac:dyDescent="0.3">
      <c r="B19" s="2817" t="s">
        <v>137</v>
      </c>
      <c r="C19" s="2818"/>
      <c r="D19" s="2818"/>
      <c r="E19" s="2818"/>
      <c r="F19" s="2818"/>
      <c r="G19" s="2818"/>
      <c r="H19" s="2818"/>
      <c r="I19" s="2818"/>
      <c r="J19" s="2818"/>
      <c r="K19" s="2819"/>
      <c r="L19" s="525" t="s">
        <v>478</v>
      </c>
      <c r="M19" s="2820" t="str">
        <f>L19</f>
        <v>Tingkat pelayanan administrasi perkantoran yang maksimal</v>
      </c>
      <c r="N19" s="2820"/>
      <c r="O19" s="2820"/>
      <c r="P19" s="2820"/>
      <c r="Q19" s="2821">
        <v>0.4</v>
      </c>
      <c r="R19" s="2822"/>
      <c r="S19" s="2822"/>
      <c r="T19" s="2821">
        <f>Q19</f>
        <v>0.4</v>
      </c>
      <c r="U19" s="2822"/>
      <c r="V19" s="2823"/>
    </row>
    <row r="20" spans="2:22" ht="14.25" customHeight="1" x14ac:dyDescent="0.3">
      <c r="B20" s="2824" t="s">
        <v>179</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735">
        <v>1</v>
      </c>
      <c r="C28" s="736" t="s">
        <v>239</v>
      </c>
      <c r="D28" s="737" t="s">
        <v>84</v>
      </c>
      <c r="E28" s="738"/>
      <c r="F28" s="739"/>
      <c r="G28" s="740">
        <v>5</v>
      </c>
      <c r="H28" s="740">
        <v>2</v>
      </c>
      <c r="I28" s="740"/>
      <c r="J28" s="740"/>
      <c r="K28" s="740"/>
      <c r="L28" s="705" t="s">
        <v>54</v>
      </c>
      <c r="M28" s="729"/>
      <c r="N28" s="729"/>
      <c r="O28" s="730"/>
      <c r="P28" s="555">
        <f>P29</f>
        <v>57190000</v>
      </c>
      <c r="Q28" s="729"/>
      <c r="R28" s="729"/>
      <c r="S28" s="730"/>
      <c r="T28" s="555">
        <f>T29</f>
        <v>57190000</v>
      </c>
      <c r="U28" s="526"/>
      <c r="V28" s="425"/>
    </row>
    <row r="29" spans="2:22" x14ac:dyDescent="0.25">
      <c r="B29" s="735">
        <v>1</v>
      </c>
      <c r="C29" s="736" t="s">
        <v>239</v>
      </c>
      <c r="D29" s="737" t="s">
        <v>84</v>
      </c>
      <c r="E29" s="741" t="s">
        <v>84</v>
      </c>
      <c r="F29" s="742"/>
      <c r="G29" s="740"/>
      <c r="H29" s="740"/>
      <c r="I29" s="740"/>
      <c r="J29" s="740"/>
      <c r="K29" s="740"/>
      <c r="L29" s="710" t="s">
        <v>110</v>
      </c>
      <c r="M29" s="706"/>
      <c r="N29" s="706"/>
      <c r="O29" s="707"/>
      <c r="P29" s="731">
        <f>P30</f>
        <v>57190000</v>
      </c>
      <c r="Q29" s="706"/>
      <c r="R29" s="706"/>
      <c r="S29" s="707"/>
      <c r="T29" s="731">
        <f>T30</f>
        <v>57190000</v>
      </c>
      <c r="U29" s="696"/>
      <c r="V29" s="697"/>
    </row>
    <row r="30" spans="2:22" x14ac:dyDescent="0.25">
      <c r="B30" s="735">
        <v>1</v>
      </c>
      <c r="C30" s="736" t="s">
        <v>239</v>
      </c>
      <c r="D30" s="737" t="s">
        <v>84</v>
      </c>
      <c r="E30" s="741" t="s">
        <v>84</v>
      </c>
      <c r="F30" s="743">
        <v>17</v>
      </c>
      <c r="G30" s="740"/>
      <c r="H30" s="740"/>
      <c r="I30" s="740"/>
      <c r="J30" s="740"/>
      <c r="K30" s="736"/>
      <c r="L30" s="710" t="s">
        <v>106</v>
      </c>
      <c r="M30" s="706"/>
      <c r="N30" s="706"/>
      <c r="O30" s="707"/>
      <c r="P30" s="731">
        <f>P32</f>
        <v>57190000</v>
      </c>
      <c r="Q30" s="706"/>
      <c r="R30" s="706"/>
      <c r="S30" s="707"/>
      <c r="T30" s="731">
        <f>T32</f>
        <v>57190000</v>
      </c>
      <c r="U30" s="527"/>
      <c r="V30" s="643"/>
    </row>
    <row r="31" spans="2:22" x14ac:dyDescent="0.25">
      <c r="B31" s="735"/>
      <c r="C31" s="736"/>
      <c r="D31" s="736"/>
      <c r="E31" s="741"/>
      <c r="F31" s="743"/>
      <c r="G31" s="740"/>
      <c r="H31" s="740"/>
      <c r="I31" s="740"/>
      <c r="J31" s="740"/>
      <c r="K31" s="736"/>
      <c r="L31" s="710"/>
      <c r="M31" s="706"/>
      <c r="N31" s="706"/>
      <c r="O31" s="707"/>
      <c r="P31" s="732"/>
      <c r="Q31" s="706"/>
      <c r="R31" s="706"/>
      <c r="S31" s="707"/>
      <c r="T31" s="732"/>
      <c r="U31" s="698"/>
      <c r="V31" s="697"/>
    </row>
    <row r="32" spans="2:22" x14ac:dyDescent="0.25">
      <c r="B32" s="735">
        <v>1</v>
      </c>
      <c r="C32" s="736" t="s">
        <v>239</v>
      </c>
      <c r="D32" s="737" t="s">
        <v>84</v>
      </c>
      <c r="E32" s="741" t="s">
        <v>84</v>
      </c>
      <c r="F32" s="743">
        <v>17</v>
      </c>
      <c r="G32" s="740">
        <v>5</v>
      </c>
      <c r="H32" s="740">
        <v>2</v>
      </c>
      <c r="I32" s="740">
        <v>2</v>
      </c>
      <c r="J32" s="740"/>
      <c r="K32" s="740"/>
      <c r="L32" s="712" t="s">
        <v>64</v>
      </c>
      <c r="M32" s="706"/>
      <c r="N32" s="706"/>
      <c r="O32" s="707"/>
      <c r="P32" s="609">
        <f>P33</f>
        <v>57190000</v>
      </c>
      <c r="Q32" s="706"/>
      <c r="R32" s="706"/>
      <c r="S32" s="707"/>
      <c r="T32" s="609">
        <f>T33</f>
        <v>57190000</v>
      </c>
      <c r="U32" s="527"/>
      <c r="V32" s="643"/>
    </row>
    <row r="33" spans="2:23" x14ac:dyDescent="0.25">
      <c r="B33" s="735">
        <v>1</v>
      </c>
      <c r="C33" s="736" t="s">
        <v>239</v>
      </c>
      <c r="D33" s="737" t="s">
        <v>84</v>
      </c>
      <c r="E33" s="741" t="s">
        <v>84</v>
      </c>
      <c r="F33" s="743">
        <v>17</v>
      </c>
      <c r="G33" s="740">
        <v>5</v>
      </c>
      <c r="H33" s="740">
        <v>2</v>
      </c>
      <c r="I33" s="740">
        <v>2</v>
      </c>
      <c r="J33" s="736">
        <v>11</v>
      </c>
      <c r="K33" s="736" t="s">
        <v>84</v>
      </c>
      <c r="L33" s="716" t="s">
        <v>1</v>
      </c>
      <c r="M33" s="571"/>
      <c r="N33" s="713"/>
      <c r="O33" s="714"/>
      <c r="P33" s="733">
        <f>SUM(P34:P35)</f>
        <v>57190000</v>
      </c>
      <c r="Q33" s="571"/>
      <c r="R33" s="713"/>
      <c r="S33" s="714"/>
      <c r="T33" s="733">
        <f>SUM(T34:T35)</f>
        <v>57190000</v>
      </c>
      <c r="U33" s="698"/>
      <c r="V33" s="697"/>
    </row>
    <row r="34" spans="2:23" ht="25" x14ac:dyDescent="0.25">
      <c r="B34" s="735"/>
      <c r="C34" s="740"/>
      <c r="D34" s="740"/>
      <c r="E34" s="738"/>
      <c r="F34" s="742"/>
      <c r="G34" s="740"/>
      <c r="H34" s="740"/>
      <c r="I34" s="740"/>
      <c r="J34" s="740"/>
      <c r="K34" s="740"/>
      <c r="L34" s="744" t="s">
        <v>714</v>
      </c>
      <c r="M34" s="498">
        <v>3630</v>
      </c>
      <c r="N34" s="745" t="s">
        <v>600</v>
      </c>
      <c r="O34" s="746">
        <v>13000</v>
      </c>
      <c r="P34" s="749">
        <f>O34*M34</f>
        <v>47190000</v>
      </c>
      <c r="Q34" s="498">
        <v>3630</v>
      </c>
      <c r="R34" s="745" t="s">
        <v>600</v>
      </c>
      <c r="S34" s="746">
        <v>13000</v>
      </c>
      <c r="T34" s="749">
        <f>S34*Q34</f>
        <v>47190000</v>
      </c>
      <c r="U34" s="698"/>
      <c r="V34" s="697"/>
    </row>
    <row r="35" spans="2:23" ht="25" x14ac:dyDescent="0.25">
      <c r="B35" s="735"/>
      <c r="C35" s="740"/>
      <c r="D35" s="740"/>
      <c r="E35" s="738"/>
      <c r="F35" s="747"/>
      <c r="G35" s="740"/>
      <c r="H35" s="740"/>
      <c r="I35" s="740"/>
      <c r="J35" s="740"/>
      <c r="K35" s="740"/>
      <c r="L35" s="748" t="s">
        <v>715</v>
      </c>
      <c r="M35" s="498">
        <v>1</v>
      </c>
      <c r="N35" s="745" t="s">
        <v>716</v>
      </c>
      <c r="O35" s="746">
        <v>10000000</v>
      </c>
      <c r="P35" s="749">
        <f>O35*M35</f>
        <v>10000000</v>
      </c>
      <c r="Q35" s="498">
        <v>1</v>
      </c>
      <c r="R35" s="745" t="s">
        <v>716</v>
      </c>
      <c r="S35" s="746">
        <v>10000000</v>
      </c>
      <c r="T35" s="749">
        <f>S35*Q35</f>
        <v>10000000</v>
      </c>
      <c r="U35" s="527"/>
      <c r="V35" s="643">
        <f>U35/P35*100</f>
        <v>0</v>
      </c>
    </row>
    <row r="36" spans="2:23" x14ac:dyDescent="0.25">
      <c r="B36" s="47"/>
      <c r="C36" s="6"/>
      <c r="D36" s="6"/>
      <c r="E36" s="48"/>
      <c r="F36" s="48"/>
      <c r="G36" s="5"/>
      <c r="H36" s="5"/>
      <c r="I36" s="116"/>
      <c r="J36" s="6"/>
      <c r="K36" s="6"/>
      <c r="L36" s="595"/>
      <c r="M36" s="596"/>
      <c r="N36" s="596"/>
      <c r="O36" s="597"/>
      <c r="P36" s="598"/>
      <c r="Q36" s="537"/>
      <c r="R36" s="537"/>
      <c r="S36" s="538"/>
      <c r="T36" s="539"/>
      <c r="U36" s="599"/>
      <c r="V36" s="600"/>
    </row>
    <row r="37" spans="2:23" ht="14.5" thickBot="1" x14ac:dyDescent="0.3">
      <c r="B37" s="2730" t="s">
        <v>15</v>
      </c>
      <c r="C37" s="2731"/>
      <c r="D37" s="2731"/>
      <c r="E37" s="2731"/>
      <c r="F37" s="2731"/>
      <c r="G37" s="2731"/>
      <c r="H37" s="2731"/>
      <c r="I37" s="2731"/>
      <c r="J37" s="2731"/>
      <c r="K37" s="2731"/>
      <c r="L37" s="2731"/>
      <c r="M37" s="2731"/>
      <c r="N37" s="2731"/>
      <c r="O37" s="2731"/>
      <c r="P37" s="436">
        <f>P28</f>
        <v>57190000</v>
      </c>
      <c r="Q37" s="2696"/>
      <c r="R37" s="2697"/>
      <c r="S37" s="2698"/>
      <c r="T37" s="437">
        <f>T28</f>
        <v>57190000</v>
      </c>
      <c r="U37" s="438">
        <f>SUM(U28:U35)</f>
        <v>0</v>
      </c>
      <c r="V37" s="439">
        <f>U37/P37*100</f>
        <v>0</v>
      </c>
    </row>
    <row r="38" spans="2:23" ht="13" thickTop="1" x14ac:dyDescent="0.25">
      <c r="B38" s="2699"/>
      <c r="C38" s="2700"/>
      <c r="D38" s="2700"/>
      <c r="E38" s="2700"/>
      <c r="F38" s="2700"/>
      <c r="G38" s="2700"/>
      <c r="H38" s="2700"/>
      <c r="I38" s="2700"/>
      <c r="J38" s="2700"/>
      <c r="K38" s="2700"/>
      <c r="L38" s="2700"/>
      <c r="M38" s="2700"/>
      <c r="N38" s="2700"/>
      <c r="O38" s="2700"/>
      <c r="P38" s="2700"/>
      <c r="Q38" s="2700"/>
      <c r="R38" s="2700"/>
      <c r="S38" s="2700"/>
      <c r="T38" s="2700"/>
      <c r="U38" s="2700"/>
      <c r="V38" s="2701"/>
    </row>
    <row r="39" spans="2:23" ht="12.75" customHeight="1" x14ac:dyDescent="0.25">
      <c r="B39" s="440"/>
      <c r="C39" s="20"/>
      <c r="D39" s="20"/>
      <c r="E39" s="20"/>
      <c r="F39" s="20"/>
      <c r="G39" s="20"/>
      <c r="H39" s="20"/>
      <c r="I39" s="20"/>
      <c r="J39" s="20"/>
      <c r="K39" s="20"/>
      <c r="L39" s="21"/>
      <c r="Q39" s="342"/>
      <c r="S39" s="2702" t="str">
        <f>'KOM, SDM&amp;Listrik '!S45:U45</f>
        <v>Banda Aceh,               2020</v>
      </c>
      <c r="T39" s="2702"/>
      <c r="U39" s="2702"/>
      <c r="V39" s="19"/>
      <c r="W39" s="100"/>
    </row>
    <row r="40" spans="2:23" x14ac:dyDescent="0.25">
      <c r="B40" s="440"/>
      <c r="C40" s="20"/>
      <c r="D40" s="20"/>
      <c r="E40" s="20"/>
      <c r="F40" s="20"/>
      <c r="G40" s="20"/>
      <c r="H40" s="20"/>
      <c r="I40" s="20"/>
      <c r="J40" s="20"/>
      <c r="K40" s="20"/>
      <c r="L40" s="333" t="str">
        <f>'KOM, SDM&amp;Listrik '!L46</f>
        <v>Mengesahkan,</v>
      </c>
      <c r="Q40" s="342"/>
      <c r="S40" s="2703" t="str">
        <f>'KOM, SDM&amp;Listrik '!S46:U46</f>
        <v>Pengguna Anggaran</v>
      </c>
      <c r="T40" s="2703"/>
      <c r="U40" s="2703"/>
      <c r="V40" s="44"/>
      <c r="W40" s="22"/>
    </row>
    <row r="41" spans="2:23" ht="12.75" customHeight="1" x14ac:dyDescent="0.25">
      <c r="B41" s="440"/>
      <c r="C41" s="20"/>
      <c r="D41" s="20"/>
      <c r="E41" s="20"/>
      <c r="F41" s="20"/>
      <c r="G41" s="20"/>
      <c r="H41" s="20"/>
      <c r="I41" s="20"/>
      <c r="J41" s="20"/>
      <c r="K41" s="20"/>
      <c r="L41" s="333" t="str">
        <f>'KOM, SDM&amp;Listrik '!L47</f>
        <v>Pejabat Pengelola Keuangan Daerah</v>
      </c>
      <c r="Q41" s="342"/>
      <c r="S41" s="2703" t="str">
        <f>'KOM, SDM&amp;Listrik '!S47:U47</f>
        <v xml:space="preserve"> Satuan Kerja Perangkat Daerah </v>
      </c>
      <c r="T41" s="2703"/>
      <c r="U41" s="2703"/>
      <c r="V41" s="44"/>
      <c r="W41" s="22"/>
    </row>
    <row r="42" spans="2:23" x14ac:dyDescent="0.25">
      <c r="B42" s="440"/>
      <c r="C42" s="20"/>
      <c r="D42" s="20"/>
      <c r="E42" s="20"/>
      <c r="F42" s="20"/>
      <c r="G42" s="20"/>
      <c r="H42" s="20"/>
      <c r="I42" s="20"/>
      <c r="J42" s="20"/>
      <c r="K42" s="20"/>
      <c r="L42" s="42"/>
      <c r="Q42" s="342"/>
      <c r="S42" s="113"/>
      <c r="T42" s="101"/>
      <c r="U42" s="101"/>
      <c r="V42" s="111"/>
      <c r="W42" s="102"/>
    </row>
    <row r="43" spans="2:23" x14ac:dyDescent="0.25">
      <c r="B43" s="440"/>
      <c r="C43" s="20"/>
      <c r="D43" s="20"/>
      <c r="E43" s="20"/>
      <c r="F43" s="20"/>
      <c r="G43" s="20"/>
      <c r="H43" s="20"/>
      <c r="I43" s="20"/>
      <c r="J43" s="20"/>
      <c r="K43" s="20"/>
      <c r="L43" s="42"/>
      <c r="Q43" s="342"/>
      <c r="S43" s="113"/>
      <c r="T43" s="113"/>
      <c r="U43" s="113"/>
      <c r="V43" s="114"/>
      <c r="W43" s="103"/>
    </row>
    <row r="44" spans="2:23" x14ac:dyDescent="0.25">
      <c r="B44" s="440"/>
      <c r="C44" s="20"/>
      <c r="D44" s="20"/>
      <c r="E44" s="20"/>
      <c r="F44" s="20"/>
      <c r="G44" s="20"/>
      <c r="H44" s="20"/>
      <c r="I44" s="20"/>
      <c r="J44" s="20"/>
      <c r="K44" s="20"/>
      <c r="L44" s="99"/>
      <c r="Q44" s="342"/>
      <c r="S44" s="113"/>
      <c r="T44" s="101"/>
      <c r="U44" s="101"/>
      <c r="V44" s="111"/>
      <c r="W44" s="102"/>
    </row>
    <row r="45" spans="2:23" ht="14" x14ac:dyDescent="0.3">
      <c r="B45" s="440"/>
      <c r="C45" s="20"/>
      <c r="D45" s="20"/>
      <c r="E45" s="20"/>
      <c r="F45" s="20"/>
      <c r="G45" s="20"/>
      <c r="H45" s="20"/>
      <c r="I45" s="20"/>
      <c r="J45" s="20"/>
      <c r="K45" s="20"/>
      <c r="L45" s="112" t="str">
        <f>'KOM, SDM&amp;Listrik '!L51</f>
        <v>M. Iqbal Rokan, S.STP.</v>
      </c>
      <c r="Q45" s="342"/>
      <c r="S45" s="2704" t="str">
        <f>'KOM, SDM&amp;Listrik '!S51:U51</f>
        <v>Bustami, SH</v>
      </c>
      <c r="T45" s="2704"/>
      <c r="U45" s="2704"/>
      <c r="V45" s="45"/>
      <c r="W45" s="104"/>
    </row>
    <row r="46" spans="2:23" x14ac:dyDescent="0.25">
      <c r="B46" s="440"/>
      <c r="C46" s="20"/>
      <c r="D46" s="20"/>
      <c r="E46" s="20"/>
      <c r="F46" s="20"/>
      <c r="G46" s="20"/>
      <c r="H46" s="20"/>
      <c r="I46" s="20"/>
      <c r="J46" s="20"/>
      <c r="K46" s="20"/>
      <c r="L46" s="333" t="str">
        <f>'KOM, SDM&amp;Listrik '!L52</f>
        <v>Nip. 19780505 199810 1 001</v>
      </c>
      <c r="Q46" s="342"/>
      <c r="S46" s="2703" t="str">
        <f>'KOM, SDM&amp;Listrik '!S52:U52</f>
        <v>Pembina Utama Muda / Nip. 196308241987031004</v>
      </c>
      <c r="T46" s="2703"/>
      <c r="U46" s="2703"/>
      <c r="V46" s="44"/>
      <c r="W46" s="22"/>
    </row>
    <row r="47" spans="2:23" x14ac:dyDescent="0.25">
      <c r="B47" s="440"/>
      <c r="C47" s="20"/>
      <c r="D47" s="20"/>
      <c r="E47" s="20"/>
      <c r="F47" s="20"/>
      <c r="G47" s="20"/>
      <c r="H47" s="20"/>
      <c r="I47" s="20"/>
      <c r="J47" s="20"/>
      <c r="K47" s="20"/>
      <c r="L47" s="333"/>
      <c r="Q47" s="342"/>
      <c r="S47" s="333"/>
      <c r="T47" s="333"/>
      <c r="U47" s="333"/>
      <c r="V47" s="441"/>
      <c r="W47" s="21"/>
    </row>
    <row r="48" spans="2:23" ht="14.25" customHeight="1" x14ac:dyDescent="0.25">
      <c r="B48" s="2705" t="s">
        <v>286</v>
      </c>
      <c r="C48" s="2706"/>
      <c r="D48" s="2706"/>
      <c r="E48" s="2706"/>
      <c r="F48" s="2706"/>
      <c r="G48" s="2706"/>
      <c r="H48" s="2706"/>
      <c r="I48" s="2706"/>
      <c r="J48" s="2706"/>
      <c r="K48" s="2706"/>
      <c r="L48" s="2706"/>
      <c r="M48" s="2707" t="s">
        <v>145</v>
      </c>
      <c r="N48" s="2708"/>
      <c r="O48" s="2708"/>
      <c r="P48" s="2708"/>
      <c r="Q48" s="2708"/>
      <c r="R48" s="2708"/>
      <c r="S48" s="2708"/>
      <c r="T48" s="2708"/>
      <c r="U48" s="2708"/>
      <c r="V48" s="2709"/>
    </row>
    <row r="49" spans="2:22" ht="14.25" customHeight="1" x14ac:dyDescent="0.3">
      <c r="B49" s="2710"/>
      <c r="C49" s="2711"/>
      <c r="D49" s="2711"/>
      <c r="E49" s="2711"/>
      <c r="F49" s="2711"/>
      <c r="G49" s="2711"/>
      <c r="H49" s="2711"/>
      <c r="I49" s="2711"/>
      <c r="J49" s="2711"/>
      <c r="K49" s="2711"/>
      <c r="L49" s="2712"/>
      <c r="M49" s="331" t="s">
        <v>142</v>
      </c>
      <c r="N49" s="2713"/>
      <c r="O49" s="2713"/>
      <c r="P49" s="2713"/>
      <c r="Q49" s="2714" t="s">
        <v>143</v>
      </c>
      <c r="R49" s="2714"/>
      <c r="S49" s="2714"/>
      <c r="T49" s="332" t="s">
        <v>144</v>
      </c>
      <c r="U49" s="2714" t="s">
        <v>146</v>
      </c>
      <c r="V49" s="2715"/>
    </row>
    <row r="50" spans="2:22" ht="14.25" customHeight="1" x14ac:dyDescent="0.3">
      <c r="B50" s="2716" t="s">
        <v>293</v>
      </c>
      <c r="C50" s="2717"/>
      <c r="D50" s="2717"/>
      <c r="E50" s="2717"/>
      <c r="F50" s="2717"/>
      <c r="G50" s="2717"/>
      <c r="H50" s="2717"/>
      <c r="I50" s="2717"/>
      <c r="J50" s="2717"/>
      <c r="K50" s="2717"/>
      <c r="L50" s="107">
        <v>0</v>
      </c>
      <c r="M50" s="118">
        <v>1</v>
      </c>
      <c r="N50" s="2718" t="str">
        <f>'KOM, SDM&amp;Listrik '!N56:P56</f>
        <v>Weri, SE. MA</v>
      </c>
      <c r="O50" s="2719"/>
      <c r="P50" s="2719"/>
      <c r="Q50" s="2720" t="str">
        <f>'KOM, SDM&amp;Listrik '!Q56:S56</f>
        <v>19640525 198903 1 026</v>
      </c>
      <c r="R50" s="2721"/>
      <c r="S50" s="2722"/>
      <c r="T50" s="109" t="s">
        <v>302</v>
      </c>
      <c r="U50" s="442" t="s">
        <v>287</v>
      </c>
      <c r="V50" s="443"/>
    </row>
    <row r="51" spans="2:22" ht="14" x14ac:dyDescent="0.3">
      <c r="B51" s="2716" t="s">
        <v>294</v>
      </c>
      <c r="C51" s="2717"/>
      <c r="D51" s="2717"/>
      <c r="E51" s="2717"/>
      <c r="F51" s="2717"/>
      <c r="G51" s="2717"/>
      <c r="H51" s="2717"/>
      <c r="I51" s="2717"/>
      <c r="J51" s="2717"/>
      <c r="K51" s="2717"/>
      <c r="L51" s="107">
        <v>0</v>
      </c>
      <c r="M51" s="118">
        <v>2</v>
      </c>
      <c r="N51" s="2723" t="str">
        <f>'KOM, SDM&amp;Listrik '!N57:P57</f>
        <v>Azmi, SH</v>
      </c>
      <c r="O51" s="2724"/>
      <c r="P51" s="2724"/>
      <c r="Q51" s="2720" t="str">
        <f>'KOM, SDM&amp;Listrik '!Q57:S57</f>
        <v>19680824 199903 1 004</v>
      </c>
      <c r="R51" s="2721"/>
      <c r="S51" s="2722"/>
      <c r="T51" s="109" t="s">
        <v>303</v>
      </c>
      <c r="U51" s="444"/>
      <c r="V51" s="445" t="s">
        <v>128</v>
      </c>
    </row>
    <row r="52" spans="2:22" ht="14" x14ac:dyDescent="0.3">
      <c r="B52" s="2716" t="s">
        <v>295</v>
      </c>
      <c r="C52" s="2717"/>
      <c r="D52" s="2717"/>
      <c r="E52" s="2717"/>
      <c r="F52" s="2717"/>
      <c r="G52" s="2717"/>
      <c r="H52" s="2717"/>
      <c r="I52" s="2717"/>
      <c r="J52" s="2717"/>
      <c r="K52" s="2717"/>
      <c r="L52" s="107">
        <v>0</v>
      </c>
      <c r="M52" s="117">
        <v>3</v>
      </c>
      <c r="N52" s="2723" t="str">
        <f>'KOM, SDM&amp;Listrik '!N58:P58</f>
        <v>Muhammad Syaifuddin Ambia, ST, MT</v>
      </c>
      <c r="O52" s="2724"/>
      <c r="P52" s="2724"/>
      <c r="Q52" s="2720" t="str">
        <f>'KOM, SDM&amp;Listrik '!Q58:S58</f>
        <v>19741010 200604 1 003</v>
      </c>
      <c r="R52" s="2721"/>
      <c r="S52" s="2722"/>
      <c r="T52" s="109" t="s">
        <v>304</v>
      </c>
      <c r="U52" s="446" t="s">
        <v>292</v>
      </c>
      <c r="V52" s="443"/>
    </row>
    <row r="53" spans="2:22" ht="15" customHeight="1" x14ac:dyDescent="0.3">
      <c r="B53" s="2716" t="s">
        <v>296</v>
      </c>
      <c r="C53" s="2717"/>
      <c r="D53" s="2717"/>
      <c r="E53" s="2717"/>
      <c r="F53" s="2717"/>
      <c r="G53" s="2717"/>
      <c r="H53" s="2717"/>
      <c r="I53" s="2717"/>
      <c r="J53" s="2717"/>
      <c r="K53" s="2717"/>
      <c r="L53" s="107">
        <v>0</v>
      </c>
      <c r="M53" s="118">
        <v>4</v>
      </c>
      <c r="N53" s="2723" t="str">
        <f>'KOM, SDM&amp;Listrik '!N59:P59</f>
        <v>Basri, SE, M.Si</v>
      </c>
      <c r="O53" s="2724"/>
      <c r="P53" s="2724"/>
      <c r="Q53" s="2720" t="str">
        <f>'KOM, SDM&amp;Listrik '!Q59:S59</f>
        <v>19691213 199403 1 002</v>
      </c>
      <c r="R53" s="2721"/>
      <c r="S53" s="2722"/>
      <c r="T53" s="109" t="s">
        <v>305</v>
      </c>
      <c r="U53" s="444"/>
      <c r="V53" s="445" t="s">
        <v>288</v>
      </c>
    </row>
    <row r="54" spans="2:22" ht="14" x14ac:dyDescent="0.3">
      <c r="B54" s="2716" t="s">
        <v>297</v>
      </c>
      <c r="C54" s="2717"/>
      <c r="D54" s="2717"/>
      <c r="E54" s="2717"/>
      <c r="F54" s="2717"/>
      <c r="G54" s="2717"/>
      <c r="H54" s="2717"/>
      <c r="I54" s="2717"/>
      <c r="J54" s="2717"/>
      <c r="K54" s="2717"/>
      <c r="L54" s="108">
        <f>SUM(L50:L53)</f>
        <v>0</v>
      </c>
      <c r="M54" s="105">
        <v>5</v>
      </c>
      <c r="N54" s="2723" t="str">
        <f>'KOM, SDM&amp;Listrik '!N60:P60</f>
        <v>Dewi Shinta Reza, SE. Ak</v>
      </c>
      <c r="O54" s="2724"/>
      <c r="P54" s="2724"/>
      <c r="Q54" s="2720" t="str">
        <f>'KOM, SDM&amp;Listrik '!Q60:S60</f>
        <v>19750630 200212 2 003</v>
      </c>
      <c r="R54" s="2721"/>
      <c r="S54" s="2722"/>
      <c r="T54" s="109" t="s">
        <v>306</v>
      </c>
      <c r="U54" s="446" t="s">
        <v>289</v>
      </c>
      <c r="V54" s="443"/>
    </row>
    <row r="55" spans="2:22" ht="13.5" customHeight="1" x14ac:dyDescent="0.3">
      <c r="B55" s="2710"/>
      <c r="C55" s="2711"/>
      <c r="D55" s="2711"/>
      <c r="E55" s="2711"/>
      <c r="F55" s="2711"/>
      <c r="G55" s="2711"/>
      <c r="H55" s="2711"/>
      <c r="I55" s="2711"/>
      <c r="J55" s="2711"/>
      <c r="K55" s="2711"/>
      <c r="L55" s="2712"/>
      <c r="M55" s="105">
        <v>6</v>
      </c>
      <c r="N55" s="2718" t="str">
        <f>'KOM, SDM&amp;Listrik '!N61:P61</f>
        <v>Harisman, S.STP, M.Ec.Dev</v>
      </c>
      <c r="O55" s="2719"/>
      <c r="P55" s="2719"/>
      <c r="Q55" s="2720" t="str">
        <f>'KOM, SDM&amp;Listrik '!Q61:S61</f>
        <v>19830101 200112 1 003</v>
      </c>
      <c r="R55" s="2721"/>
      <c r="S55" s="2722"/>
      <c r="T55" s="109" t="s">
        <v>307</v>
      </c>
      <c r="U55" s="444"/>
      <c r="V55" s="445" t="s">
        <v>290</v>
      </c>
    </row>
    <row r="56" spans="2:22" ht="14.5" thickBot="1" x14ac:dyDescent="0.35">
      <c r="B56" s="2725"/>
      <c r="C56" s="2726"/>
      <c r="D56" s="2726"/>
      <c r="E56" s="2726"/>
      <c r="F56" s="2726"/>
      <c r="G56" s="2726"/>
      <c r="H56" s="2726"/>
      <c r="I56" s="2726"/>
      <c r="J56" s="2726"/>
      <c r="K56" s="2726"/>
      <c r="L56" s="2727"/>
      <c r="M56" s="106">
        <v>7</v>
      </c>
      <c r="N56" s="2728" t="str">
        <f>'KOM, SDM&amp;Listrik '!N62:P62</f>
        <v>Alriandi, S.STP, M.Si</v>
      </c>
      <c r="O56" s="2729"/>
      <c r="P56" s="2729"/>
      <c r="Q56" s="2733" t="str">
        <f>'KOM, SDM&amp;Listrik '!Q62:S62</f>
        <v>19830308 200112 1 001</v>
      </c>
      <c r="R56" s="2734"/>
      <c r="S56" s="2735"/>
      <c r="T56" s="110" t="s">
        <v>308</v>
      </c>
      <c r="U56" s="447" t="s">
        <v>291</v>
      </c>
      <c r="V56" s="448"/>
    </row>
    <row r="57" spans="2:22" ht="13" thickTop="1" x14ac:dyDescent="0.25">
      <c r="B57" s="342"/>
      <c r="C57" s="342"/>
      <c r="D57" s="342"/>
      <c r="E57" s="342"/>
      <c r="F57" s="342"/>
      <c r="G57" s="342"/>
      <c r="H57" s="342"/>
      <c r="I57" s="342"/>
      <c r="J57" s="342"/>
      <c r="K57" s="342"/>
      <c r="L57" s="342"/>
      <c r="M57" s="342"/>
      <c r="N57" s="342"/>
      <c r="O57" s="342"/>
      <c r="P57" s="342"/>
    </row>
    <row r="58" spans="2:22" x14ac:dyDescent="0.25">
      <c r="B58" s="342"/>
      <c r="C58" s="342"/>
      <c r="D58" s="342"/>
      <c r="E58" s="342"/>
      <c r="F58" s="342"/>
      <c r="G58" s="342"/>
      <c r="H58" s="342"/>
      <c r="I58" s="342"/>
      <c r="J58" s="342"/>
      <c r="K58" s="342"/>
      <c r="L58" s="342"/>
      <c r="M58" s="342"/>
      <c r="N58" s="342"/>
      <c r="O58" s="342"/>
      <c r="P58" s="342"/>
    </row>
    <row r="59" spans="2:22" x14ac:dyDescent="0.25">
      <c r="B59" s="342"/>
      <c r="C59" s="342"/>
      <c r="D59" s="342"/>
      <c r="E59" s="342"/>
      <c r="F59" s="342"/>
      <c r="G59" s="342"/>
      <c r="H59" s="342"/>
      <c r="I59" s="342"/>
      <c r="J59" s="342"/>
      <c r="K59" s="342"/>
      <c r="L59" s="342"/>
      <c r="M59" s="342"/>
      <c r="N59" s="342"/>
      <c r="O59" s="342"/>
      <c r="P59" s="342"/>
    </row>
    <row r="60" spans="2:22" x14ac:dyDescent="0.25">
      <c r="B60" s="342"/>
      <c r="C60" s="342"/>
      <c r="D60" s="342"/>
      <c r="E60" s="342"/>
      <c r="F60" s="342"/>
      <c r="G60" s="342"/>
      <c r="H60" s="342"/>
      <c r="I60" s="342"/>
      <c r="J60" s="342"/>
      <c r="K60" s="342"/>
      <c r="L60" s="342"/>
      <c r="M60" s="342"/>
      <c r="N60" s="342"/>
      <c r="O60" s="342"/>
      <c r="P60" s="342"/>
    </row>
    <row r="61" spans="2:22" x14ac:dyDescent="0.25">
      <c r="B61" s="342"/>
      <c r="C61" s="342"/>
      <c r="D61" s="342"/>
      <c r="E61" s="342"/>
      <c r="F61" s="342"/>
      <c r="G61" s="342"/>
      <c r="H61" s="342"/>
      <c r="I61" s="342"/>
      <c r="J61" s="342"/>
      <c r="K61" s="342"/>
      <c r="L61" s="342"/>
      <c r="M61" s="342"/>
      <c r="N61" s="342"/>
      <c r="O61" s="342"/>
      <c r="P61" s="342"/>
    </row>
    <row r="62" spans="2:22" x14ac:dyDescent="0.25">
      <c r="B62" s="342"/>
      <c r="C62" s="342"/>
      <c r="D62" s="342"/>
      <c r="E62" s="342"/>
      <c r="F62" s="342"/>
      <c r="G62" s="342"/>
      <c r="H62" s="342"/>
      <c r="I62" s="342"/>
      <c r="J62" s="342"/>
      <c r="K62" s="342"/>
      <c r="L62" s="342"/>
      <c r="M62" s="342"/>
      <c r="N62" s="342"/>
      <c r="O62" s="342"/>
      <c r="P62" s="342"/>
    </row>
    <row r="63" spans="2:22" x14ac:dyDescent="0.25">
      <c r="B63" s="342"/>
      <c r="C63" s="342"/>
      <c r="D63" s="342"/>
      <c r="E63" s="342"/>
      <c r="F63" s="342"/>
      <c r="G63" s="342"/>
      <c r="H63" s="342"/>
      <c r="I63" s="342"/>
      <c r="J63" s="342"/>
      <c r="K63" s="342"/>
      <c r="L63" s="342"/>
      <c r="M63" s="342"/>
      <c r="N63" s="342"/>
      <c r="O63" s="342"/>
      <c r="P63" s="342"/>
    </row>
    <row r="64" spans="2:22" x14ac:dyDescent="0.25">
      <c r="B64" s="342"/>
      <c r="C64" s="342"/>
      <c r="D64" s="342"/>
      <c r="E64" s="342"/>
      <c r="F64" s="342"/>
      <c r="G64" s="342"/>
      <c r="H64" s="342"/>
      <c r="I64" s="342"/>
      <c r="J64" s="342"/>
      <c r="K64" s="342"/>
      <c r="L64" s="342"/>
      <c r="M64" s="342"/>
      <c r="N64" s="342"/>
      <c r="O64" s="342"/>
      <c r="P64" s="342"/>
    </row>
    <row r="65" spans="2:16" x14ac:dyDescent="0.25">
      <c r="B65" s="342"/>
      <c r="C65" s="342"/>
      <c r="D65" s="342"/>
      <c r="E65" s="342"/>
      <c r="F65" s="342"/>
      <c r="G65" s="342"/>
      <c r="H65" s="342"/>
      <c r="I65" s="342"/>
      <c r="J65" s="342"/>
      <c r="K65" s="342"/>
      <c r="L65" s="342"/>
      <c r="M65" s="342"/>
      <c r="N65" s="342"/>
      <c r="O65" s="342"/>
      <c r="P65" s="342"/>
    </row>
    <row r="66" spans="2:16" x14ac:dyDescent="0.25">
      <c r="B66" s="342"/>
      <c r="C66" s="342"/>
      <c r="D66" s="342"/>
      <c r="E66" s="342"/>
      <c r="F66" s="342"/>
      <c r="G66" s="342"/>
      <c r="H66" s="342"/>
      <c r="I66" s="342"/>
      <c r="J66" s="342"/>
      <c r="K66" s="342"/>
      <c r="L66" s="342"/>
      <c r="M66" s="342"/>
      <c r="N66" s="342"/>
      <c r="O66" s="342"/>
      <c r="P66" s="342"/>
    </row>
    <row r="67" spans="2:16" x14ac:dyDescent="0.25">
      <c r="B67" s="342"/>
      <c r="C67" s="342"/>
      <c r="D67" s="342"/>
      <c r="E67" s="342"/>
      <c r="F67" s="342"/>
      <c r="G67" s="342"/>
      <c r="H67" s="342"/>
      <c r="I67" s="342"/>
      <c r="J67" s="342"/>
      <c r="K67" s="342"/>
      <c r="L67" s="342"/>
      <c r="M67" s="342"/>
      <c r="N67" s="342"/>
      <c r="O67" s="342"/>
      <c r="P67" s="342"/>
    </row>
    <row r="68" spans="2:16" x14ac:dyDescent="0.25">
      <c r="B68" s="342"/>
      <c r="C68" s="342"/>
      <c r="D68" s="342"/>
      <c r="E68" s="342"/>
      <c r="F68" s="342"/>
      <c r="G68" s="342"/>
      <c r="H68" s="342"/>
      <c r="I68" s="342"/>
      <c r="J68" s="342"/>
      <c r="K68" s="342"/>
      <c r="L68" s="342"/>
      <c r="M68" s="342"/>
      <c r="N68" s="342"/>
      <c r="O68" s="342"/>
      <c r="P68" s="342"/>
    </row>
    <row r="69" spans="2:16" x14ac:dyDescent="0.25">
      <c r="B69" s="342"/>
      <c r="C69" s="342"/>
      <c r="D69" s="342"/>
      <c r="E69" s="342"/>
      <c r="F69" s="342"/>
      <c r="G69" s="342"/>
      <c r="H69" s="342"/>
      <c r="I69" s="342"/>
      <c r="J69" s="342"/>
      <c r="K69" s="342"/>
      <c r="L69" s="342"/>
      <c r="M69" s="342"/>
      <c r="N69" s="342"/>
      <c r="O69" s="342"/>
      <c r="P69" s="342"/>
    </row>
    <row r="70" spans="2:16" x14ac:dyDescent="0.25">
      <c r="B70" s="342"/>
      <c r="C70" s="342"/>
      <c r="D70" s="342"/>
      <c r="E70" s="342"/>
      <c r="F70" s="342"/>
      <c r="G70" s="342"/>
      <c r="H70" s="342"/>
      <c r="I70" s="342"/>
      <c r="J70" s="342"/>
      <c r="K70" s="342"/>
      <c r="L70" s="342"/>
      <c r="M70" s="342"/>
      <c r="N70" s="342"/>
      <c r="O70" s="342"/>
      <c r="P70" s="342"/>
    </row>
    <row r="71" spans="2:16" x14ac:dyDescent="0.25">
      <c r="B71" s="342"/>
      <c r="C71" s="342"/>
      <c r="D71" s="342"/>
      <c r="E71" s="342"/>
      <c r="F71" s="342"/>
      <c r="G71" s="342"/>
      <c r="H71" s="342"/>
      <c r="I71" s="342"/>
      <c r="J71" s="342"/>
      <c r="K71" s="342"/>
      <c r="L71" s="342"/>
      <c r="M71" s="342"/>
      <c r="N71" s="342"/>
      <c r="O71" s="342"/>
      <c r="P71" s="342"/>
    </row>
    <row r="72" spans="2:16" x14ac:dyDescent="0.25">
      <c r="B72" s="342"/>
      <c r="C72" s="342"/>
      <c r="D72" s="342"/>
      <c r="E72" s="342"/>
      <c r="F72" s="342"/>
      <c r="G72" s="342"/>
      <c r="H72" s="342"/>
      <c r="I72" s="342"/>
      <c r="J72" s="342"/>
      <c r="K72" s="342"/>
      <c r="L72" s="342"/>
      <c r="M72" s="342"/>
      <c r="N72" s="342"/>
      <c r="O72" s="342"/>
      <c r="P72" s="342"/>
    </row>
    <row r="73" spans="2:16" x14ac:dyDescent="0.25">
      <c r="B73" s="342"/>
      <c r="C73" s="342"/>
      <c r="D73" s="342"/>
      <c r="E73" s="342"/>
      <c r="F73" s="342"/>
      <c r="G73" s="342"/>
      <c r="H73" s="342"/>
      <c r="I73" s="342"/>
      <c r="J73" s="342"/>
      <c r="K73" s="342"/>
      <c r="L73" s="342"/>
      <c r="M73" s="342"/>
      <c r="N73" s="342"/>
      <c r="O73" s="342"/>
      <c r="P73"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48:L48"/>
    <mergeCell ref="M48:V48"/>
    <mergeCell ref="B27:K27"/>
    <mergeCell ref="B37:O37"/>
    <mergeCell ref="Q37:S37"/>
    <mergeCell ref="B38:V38"/>
    <mergeCell ref="S39:U39"/>
    <mergeCell ref="S40:U40"/>
    <mergeCell ref="S41:U41"/>
    <mergeCell ref="S45:U45"/>
    <mergeCell ref="S46:U46"/>
    <mergeCell ref="B49:L49"/>
    <mergeCell ref="N49:P49"/>
    <mergeCell ref="Q49:S49"/>
    <mergeCell ref="U49:V49"/>
    <mergeCell ref="B50:K50"/>
    <mergeCell ref="N50:P50"/>
    <mergeCell ref="Q50:S50"/>
    <mergeCell ref="B51:K51"/>
    <mergeCell ref="N51:P51"/>
    <mergeCell ref="Q51:S51"/>
    <mergeCell ref="B52:K52"/>
    <mergeCell ref="N52:P52"/>
    <mergeCell ref="Q52:S52"/>
    <mergeCell ref="B53:K53"/>
    <mergeCell ref="N53:P53"/>
    <mergeCell ref="Q53:S53"/>
    <mergeCell ref="B54:K54"/>
    <mergeCell ref="N54:P54"/>
    <mergeCell ref="Q54:S54"/>
    <mergeCell ref="B55:L55"/>
    <mergeCell ref="N55:P55"/>
    <mergeCell ref="Q55:S55"/>
    <mergeCell ref="B56:L56"/>
    <mergeCell ref="N56:P56"/>
    <mergeCell ref="Q56:S56"/>
  </mergeCells>
  <pageMargins left="0.511811023622047" right="1.0255905510000001" top="0.511811023622047" bottom="0.47244094488188998" header="0.31496062992126" footer="0.31496062992126"/>
  <pageSetup paperSize="5" scale="63" orientation="landscape"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73"/>
  <sheetViews>
    <sheetView view="pageBreakPreview" topLeftCell="A29" zoomScale="74" zoomScaleNormal="70" zoomScaleSheetLayoutView="100" workbookViewId="0">
      <selection activeCell="P43" sqref="P43"/>
    </sheetView>
  </sheetViews>
  <sheetFormatPr defaultColWidth="8.7265625" defaultRowHeight="12.5" x14ac:dyDescent="0.25"/>
  <cols>
    <col min="1" max="1" width="3.542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08984375" style="341" customWidth="1"/>
    <col min="17" max="17" width="9" style="341" customWidth="1"/>
    <col min="18" max="18" width="8" style="341" customWidth="1"/>
    <col min="19" max="19" width="15.1796875" style="341" customWidth="1"/>
    <col min="20" max="20" width="22.90625" style="341" customWidth="1"/>
    <col min="21" max="21" width="17" style="341" customWidth="1"/>
    <col min="22" max="22" width="15" style="341" customWidth="1"/>
    <col min="23" max="23" width="8.7265625" style="341"/>
    <col min="24" max="24" width="13.26953125" style="341" bestFit="1" customWidth="1"/>
    <col min="25" max="25" width="15.90625" style="341" bestFit="1" customWidth="1"/>
    <col min="26"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339</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249</v>
      </c>
      <c r="M9" s="2866" t="s">
        <v>190</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601</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26.5" customHeight="1" x14ac:dyDescent="0.25">
      <c r="B16" s="2834" t="s">
        <v>14</v>
      </c>
      <c r="C16" s="2835"/>
      <c r="D16" s="2835"/>
      <c r="E16" s="2835"/>
      <c r="F16" s="2835"/>
      <c r="G16" s="2835"/>
      <c r="H16" s="2835"/>
      <c r="I16" s="2835"/>
      <c r="J16" s="2835"/>
      <c r="K16" s="2836"/>
      <c r="L16" s="734" t="s">
        <v>490</v>
      </c>
      <c r="M16" s="2507" t="str">
        <f>L16</f>
        <v>Persentase rapat koordinasi dan konsultasi keluar daerah yang dilaksanakan</v>
      </c>
      <c r="N16" s="2508"/>
      <c r="O16" s="2508"/>
      <c r="P16" s="2886"/>
      <c r="Q16" s="2830">
        <v>1</v>
      </c>
      <c r="R16" s="2616"/>
      <c r="S16" s="2616"/>
      <c r="T16" s="2831">
        <f>Q16</f>
        <v>1</v>
      </c>
      <c r="U16" s="2832"/>
      <c r="V16" s="2833"/>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174000000</v>
      </c>
      <c r="R17" s="2840"/>
      <c r="S17" s="2841"/>
      <c r="T17" s="2842">
        <f>T28</f>
        <v>41042121</v>
      </c>
      <c r="U17" s="2842"/>
      <c r="V17" s="2843"/>
    </row>
    <row r="18" spans="2:22" ht="25" x14ac:dyDescent="0.25">
      <c r="B18" s="2834" t="s">
        <v>136</v>
      </c>
      <c r="C18" s="2835"/>
      <c r="D18" s="2835"/>
      <c r="E18" s="2835"/>
      <c r="F18" s="2835"/>
      <c r="G18" s="2835"/>
      <c r="H18" s="2835"/>
      <c r="I18" s="2835"/>
      <c r="J18" s="2835"/>
      <c r="K18" s="2836"/>
      <c r="L18" s="521" t="s">
        <v>491</v>
      </c>
      <c r="M18" s="2820" t="str">
        <f>L18</f>
        <v>Jumlah laporan rapat koordinasi dan konsultasi keluar daerah yang dilaksanakan</v>
      </c>
      <c r="N18" s="2820"/>
      <c r="O18" s="2820"/>
      <c r="P18" s="2820"/>
      <c r="Q18" s="2616" t="s">
        <v>492</v>
      </c>
      <c r="R18" s="2616"/>
      <c r="S18" s="2616"/>
      <c r="T18" s="2616" t="str">
        <f>Q18</f>
        <v>20 lap</v>
      </c>
      <c r="U18" s="2616"/>
      <c r="V18" s="2837"/>
    </row>
    <row r="19" spans="2:22" ht="25.5" x14ac:dyDescent="0.3">
      <c r="B19" s="2817" t="s">
        <v>137</v>
      </c>
      <c r="C19" s="2818"/>
      <c r="D19" s="2818"/>
      <c r="E19" s="2818"/>
      <c r="F19" s="2818"/>
      <c r="G19" s="2818"/>
      <c r="H19" s="2818"/>
      <c r="I19" s="2818"/>
      <c r="J19" s="2818"/>
      <c r="K19" s="2819"/>
      <c r="L19" s="525" t="s">
        <v>478</v>
      </c>
      <c r="M19" s="2820" t="str">
        <f>L19</f>
        <v>Tingkat pelayanan administrasi perkantoran yang maksimal</v>
      </c>
      <c r="N19" s="2820"/>
      <c r="O19" s="2820"/>
      <c r="P19" s="2820"/>
      <c r="Q19" s="2821">
        <v>1</v>
      </c>
      <c r="R19" s="2822"/>
      <c r="S19" s="2822"/>
      <c r="T19" s="2821">
        <f>Q19</f>
        <v>1</v>
      </c>
      <c r="U19" s="2822"/>
      <c r="V19" s="2823"/>
    </row>
    <row r="20" spans="2:22" ht="14.25" customHeight="1" x14ac:dyDescent="0.3">
      <c r="B20" s="2824" t="s">
        <v>179</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735">
        <v>1</v>
      </c>
      <c r="C28" s="736" t="s">
        <v>239</v>
      </c>
      <c r="D28" s="736" t="s">
        <v>84</v>
      </c>
      <c r="E28" s="738"/>
      <c r="F28" s="739"/>
      <c r="G28" s="740">
        <v>5</v>
      </c>
      <c r="H28" s="740">
        <v>2</v>
      </c>
      <c r="I28" s="740"/>
      <c r="J28" s="740"/>
      <c r="K28" s="740"/>
      <c r="L28" s="705" t="s">
        <v>54</v>
      </c>
      <c r="M28" s="754"/>
      <c r="N28" s="754"/>
      <c r="O28" s="755"/>
      <c r="P28" s="1526">
        <f>P29</f>
        <v>174000000</v>
      </c>
      <c r="Q28" s="1246"/>
      <c r="R28" s="1246"/>
      <c r="S28" s="1247"/>
      <c r="T28" s="1532">
        <f>T29</f>
        <v>41042121</v>
      </c>
      <c r="U28" s="526">
        <f>T28-P28</f>
        <v>-132957879</v>
      </c>
      <c r="V28" s="425"/>
    </row>
    <row r="29" spans="2:22" x14ac:dyDescent="0.25">
      <c r="B29" s="735">
        <v>1</v>
      </c>
      <c r="C29" s="736" t="s">
        <v>239</v>
      </c>
      <c r="D29" s="736" t="s">
        <v>84</v>
      </c>
      <c r="E29" s="741" t="s">
        <v>84</v>
      </c>
      <c r="F29" s="742"/>
      <c r="G29" s="740"/>
      <c r="H29" s="740"/>
      <c r="I29" s="740"/>
      <c r="J29" s="740"/>
      <c r="K29" s="740"/>
      <c r="L29" s="710" t="s">
        <v>110</v>
      </c>
      <c r="M29" s="754"/>
      <c r="N29" s="754"/>
      <c r="O29" s="755"/>
      <c r="P29" s="1527">
        <f>P30</f>
        <v>174000000</v>
      </c>
      <c r="Q29" s="754"/>
      <c r="R29" s="754"/>
      <c r="S29" s="755"/>
      <c r="T29" s="753">
        <f>T30</f>
        <v>41042121</v>
      </c>
      <c r="U29" s="696"/>
      <c r="V29" s="697"/>
    </row>
    <row r="30" spans="2:22" ht="25" x14ac:dyDescent="0.25">
      <c r="B30" s="700">
        <v>1</v>
      </c>
      <c r="C30" s="701" t="s">
        <v>239</v>
      </c>
      <c r="D30" s="701" t="s">
        <v>84</v>
      </c>
      <c r="E30" s="708" t="s">
        <v>84</v>
      </c>
      <c r="F30" s="711">
        <v>18</v>
      </c>
      <c r="G30" s="704"/>
      <c r="H30" s="704"/>
      <c r="I30" s="704"/>
      <c r="J30" s="704"/>
      <c r="K30" s="701"/>
      <c r="L30" s="752" t="s">
        <v>717</v>
      </c>
      <c r="M30" s="754"/>
      <c r="N30" s="754"/>
      <c r="O30" s="755"/>
      <c r="P30" s="1527">
        <f>P34</f>
        <v>174000000</v>
      </c>
      <c r="Q30" s="754"/>
      <c r="R30" s="754"/>
      <c r="S30" s="755"/>
      <c r="T30" s="753">
        <f>T34</f>
        <v>41042121</v>
      </c>
      <c r="U30" s="756"/>
      <c r="V30" s="439"/>
    </row>
    <row r="31" spans="2:22" x14ac:dyDescent="0.25">
      <c r="B31" s="735"/>
      <c r="C31" s="736"/>
      <c r="D31" s="736"/>
      <c r="E31" s="741"/>
      <c r="F31" s="743"/>
      <c r="G31" s="740"/>
      <c r="H31" s="740"/>
      <c r="I31" s="740"/>
      <c r="J31" s="740"/>
      <c r="K31" s="736"/>
      <c r="L31" s="710"/>
      <c r="M31" s="754"/>
      <c r="N31" s="754"/>
      <c r="O31" s="755"/>
      <c r="P31" s="1528"/>
      <c r="Q31" s="754"/>
      <c r="R31" s="754"/>
      <c r="S31" s="755"/>
      <c r="T31" s="1533"/>
      <c r="U31" s="527"/>
      <c r="V31" s="643"/>
    </row>
    <row r="32" spans="2:22" x14ac:dyDescent="0.25">
      <c r="B32" s="735">
        <v>1</v>
      </c>
      <c r="C32" s="736" t="s">
        <v>239</v>
      </c>
      <c r="D32" s="736" t="s">
        <v>84</v>
      </c>
      <c r="E32" s="741" t="s">
        <v>84</v>
      </c>
      <c r="F32" s="743">
        <v>18</v>
      </c>
      <c r="G32" s="740">
        <v>5</v>
      </c>
      <c r="H32" s="740">
        <v>2</v>
      </c>
      <c r="I32" s="740">
        <v>2</v>
      </c>
      <c r="J32" s="740"/>
      <c r="K32" s="740"/>
      <c r="L32" s="712" t="s">
        <v>64</v>
      </c>
      <c r="M32" s="754"/>
      <c r="N32" s="754"/>
      <c r="O32" s="755"/>
      <c r="P32" s="1526">
        <f>P33</f>
        <v>174000000</v>
      </c>
      <c r="Q32" s="754"/>
      <c r="R32" s="754"/>
      <c r="S32" s="755"/>
      <c r="T32" s="1534">
        <f>T33</f>
        <v>41042121</v>
      </c>
      <c r="U32" s="756">
        <f>SUM(T32)-P32</f>
        <v>-132957879</v>
      </c>
      <c r="V32" s="697"/>
    </row>
    <row r="33" spans="2:23" x14ac:dyDescent="0.25">
      <c r="B33" s="735">
        <v>1</v>
      </c>
      <c r="C33" s="736" t="s">
        <v>239</v>
      </c>
      <c r="D33" s="736" t="s">
        <v>84</v>
      </c>
      <c r="E33" s="741" t="s">
        <v>84</v>
      </c>
      <c r="F33" s="743">
        <v>18</v>
      </c>
      <c r="G33" s="740">
        <v>5</v>
      </c>
      <c r="H33" s="740">
        <v>2</v>
      </c>
      <c r="I33" s="740">
        <v>2</v>
      </c>
      <c r="J33" s="736">
        <v>15</v>
      </c>
      <c r="K33" s="740"/>
      <c r="L33" s="715" t="s">
        <v>80</v>
      </c>
      <c r="M33" s="754"/>
      <c r="N33" s="754"/>
      <c r="O33" s="755"/>
      <c r="P33" s="1528">
        <f>P34</f>
        <v>174000000</v>
      </c>
      <c r="Q33" s="754"/>
      <c r="R33" s="754"/>
      <c r="S33" s="755"/>
      <c r="T33" s="1533">
        <f>T34</f>
        <v>41042121</v>
      </c>
      <c r="U33" s="698"/>
      <c r="V33" s="697"/>
    </row>
    <row r="34" spans="2:23" x14ac:dyDescent="0.25">
      <c r="B34" s="735">
        <v>1</v>
      </c>
      <c r="C34" s="736" t="s">
        <v>239</v>
      </c>
      <c r="D34" s="736" t="s">
        <v>84</v>
      </c>
      <c r="E34" s="741" t="s">
        <v>84</v>
      </c>
      <c r="F34" s="743">
        <v>18</v>
      </c>
      <c r="G34" s="740">
        <v>5</v>
      </c>
      <c r="H34" s="740">
        <v>2</v>
      </c>
      <c r="I34" s="740">
        <v>2</v>
      </c>
      <c r="J34" s="736">
        <v>15</v>
      </c>
      <c r="K34" s="736" t="s">
        <v>87</v>
      </c>
      <c r="L34" s="716" t="s">
        <v>167</v>
      </c>
      <c r="M34" s="990"/>
      <c r="N34" s="745"/>
      <c r="O34" s="789"/>
      <c r="P34" s="1529">
        <f>P35</f>
        <v>174000000</v>
      </c>
      <c r="Q34" s="990"/>
      <c r="R34" s="745"/>
      <c r="S34" s="789"/>
      <c r="T34" s="749">
        <f>T35</f>
        <v>41042121</v>
      </c>
      <c r="U34" s="527"/>
      <c r="V34" s="643">
        <f>U34/P34*100</f>
        <v>0</v>
      </c>
    </row>
    <row r="35" spans="2:23" x14ac:dyDescent="0.25">
      <c r="B35" s="735"/>
      <c r="C35" s="736"/>
      <c r="D35" s="736"/>
      <c r="E35" s="741"/>
      <c r="F35" s="743"/>
      <c r="G35" s="740"/>
      <c r="H35" s="740"/>
      <c r="I35" s="740"/>
      <c r="J35" s="736"/>
      <c r="K35" s="736"/>
      <c r="L35" s="750" t="s">
        <v>168</v>
      </c>
      <c r="M35" s="751">
        <v>1</v>
      </c>
      <c r="N35" s="1269" t="s">
        <v>66</v>
      </c>
      <c r="O35" s="1219">
        <v>174000000</v>
      </c>
      <c r="P35" s="1530">
        <f>O35*M35</f>
        <v>174000000</v>
      </c>
      <c r="Q35" s="751">
        <v>1</v>
      </c>
      <c r="R35" s="1269" t="s">
        <v>66</v>
      </c>
      <c r="S35" s="1219">
        <v>41042121</v>
      </c>
      <c r="T35" s="1535">
        <f>S35*Q35</f>
        <v>41042121</v>
      </c>
      <c r="U35" s="527"/>
      <c r="V35" s="643">
        <f>U35/P35*100</f>
        <v>0</v>
      </c>
    </row>
    <row r="36" spans="2:23" x14ac:dyDescent="0.25">
      <c r="B36" s="47"/>
      <c r="C36" s="6"/>
      <c r="D36" s="6"/>
      <c r="E36" s="48"/>
      <c r="F36" s="48"/>
      <c r="G36" s="5"/>
      <c r="H36" s="5"/>
      <c r="I36" s="116"/>
      <c r="J36" s="6"/>
      <c r="K36" s="6"/>
      <c r="L36" s="595"/>
      <c r="M36" s="751"/>
      <c r="N36" s="1269"/>
      <c r="O36" s="1219"/>
      <c r="P36" s="1530"/>
      <c r="Q36" s="1536"/>
      <c r="R36" s="1537"/>
      <c r="S36" s="1538"/>
      <c r="T36" s="1539"/>
      <c r="U36" s="1531"/>
      <c r="V36" s="600"/>
    </row>
    <row r="37" spans="2:23" ht="14.5" thickBot="1" x14ac:dyDescent="0.3">
      <c r="B37" s="2730" t="s">
        <v>15</v>
      </c>
      <c r="C37" s="2731"/>
      <c r="D37" s="2731"/>
      <c r="E37" s="2731"/>
      <c r="F37" s="2731"/>
      <c r="G37" s="2731"/>
      <c r="H37" s="2731"/>
      <c r="I37" s="2731"/>
      <c r="J37" s="2731"/>
      <c r="K37" s="2731"/>
      <c r="L37" s="2731"/>
      <c r="M37" s="2731"/>
      <c r="N37" s="2731"/>
      <c r="O37" s="2731"/>
      <c r="P37" s="436">
        <f>P28</f>
        <v>174000000</v>
      </c>
      <c r="Q37" s="2696"/>
      <c r="R37" s="2697"/>
      <c r="S37" s="2698"/>
      <c r="T37" s="437">
        <f>T28</f>
        <v>41042121</v>
      </c>
      <c r="U37" s="438">
        <f>U28</f>
        <v>-132957879</v>
      </c>
      <c r="V37" s="439">
        <f>U37/P37*100</f>
        <v>-76.412574137931031</v>
      </c>
    </row>
    <row r="38" spans="2:23" ht="13" thickTop="1" x14ac:dyDescent="0.25">
      <c r="B38" s="2699"/>
      <c r="C38" s="2700"/>
      <c r="D38" s="2700"/>
      <c r="E38" s="2700"/>
      <c r="F38" s="2700"/>
      <c r="G38" s="2700"/>
      <c r="H38" s="2700"/>
      <c r="I38" s="2700"/>
      <c r="J38" s="2700"/>
      <c r="K38" s="2700"/>
      <c r="L38" s="2700"/>
      <c r="M38" s="2700"/>
      <c r="N38" s="2700"/>
      <c r="O38" s="2700"/>
      <c r="P38" s="2700"/>
      <c r="Q38" s="2700"/>
      <c r="R38" s="2700"/>
      <c r="S38" s="2700"/>
      <c r="T38" s="2700"/>
      <c r="U38" s="2700"/>
      <c r="V38" s="2701"/>
    </row>
    <row r="39" spans="2:23" ht="12.75" customHeight="1" x14ac:dyDescent="0.25">
      <c r="B39" s="440"/>
      <c r="C39" s="20"/>
      <c r="D39" s="20"/>
      <c r="E39" s="20"/>
      <c r="F39" s="20"/>
      <c r="G39" s="20"/>
      <c r="H39" s="20"/>
      <c r="I39" s="20"/>
      <c r="J39" s="20"/>
      <c r="K39" s="20"/>
      <c r="L39" s="21"/>
      <c r="Q39" s="342"/>
      <c r="S39" s="2702" t="str">
        <f>'KOM, SDM&amp;Listrik '!S45:U45</f>
        <v>Banda Aceh,               2020</v>
      </c>
      <c r="T39" s="2702"/>
      <c r="U39" s="2702"/>
      <c r="V39" s="19"/>
      <c r="W39" s="100"/>
    </row>
    <row r="40" spans="2:23" x14ac:dyDescent="0.25">
      <c r="B40" s="440"/>
      <c r="C40" s="20"/>
      <c r="D40" s="20"/>
      <c r="E40" s="20"/>
      <c r="F40" s="20"/>
      <c r="G40" s="20"/>
      <c r="H40" s="20"/>
      <c r="I40" s="20"/>
      <c r="J40" s="20"/>
      <c r="K40" s="20"/>
      <c r="L40" s="333" t="str">
        <f>'KOM, SDM&amp;Listrik '!L46</f>
        <v>Mengesahkan,</v>
      </c>
      <c r="Q40" s="342"/>
      <c r="S40" s="2703" t="str">
        <f>'KOM, SDM&amp;Listrik '!S46:U46</f>
        <v>Pengguna Anggaran</v>
      </c>
      <c r="T40" s="2703"/>
      <c r="U40" s="2703"/>
      <c r="V40" s="44"/>
      <c r="W40" s="22"/>
    </row>
    <row r="41" spans="2:23" ht="12.75" customHeight="1" x14ac:dyDescent="0.25">
      <c r="B41" s="440"/>
      <c r="C41" s="20"/>
      <c r="D41" s="20"/>
      <c r="E41" s="20"/>
      <c r="F41" s="20"/>
      <c r="G41" s="20"/>
      <c r="H41" s="20"/>
      <c r="I41" s="20"/>
      <c r="J41" s="20"/>
      <c r="K41" s="20"/>
      <c r="L41" s="333" t="str">
        <f>'KOM, SDM&amp;Listrik '!L47</f>
        <v>Pejabat Pengelola Keuangan Daerah</v>
      </c>
      <c r="Q41" s="342"/>
      <c r="S41" s="2703" t="str">
        <f>'KOM, SDM&amp;Listrik '!S47:U47</f>
        <v xml:space="preserve"> Satuan Kerja Perangkat Daerah </v>
      </c>
      <c r="T41" s="2703"/>
      <c r="U41" s="2703"/>
      <c r="V41" s="44"/>
      <c r="W41" s="22"/>
    </row>
    <row r="42" spans="2:23" x14ac:dyDescent="0.25">
      <c r="B42" s="440"/>
      <c r="C42" s="20"/>
      <c r="D42" s="20"/>
      <c r="E42" s="20"/>
      <c r="F42" s="20"/>
      <c r="G42" s="20"/>
      <c r="H42" s="20"/>
      <c r="I42" s="20"/>
      <c r="J42" s="20"/>
      <c r="K42" s="20"/>
      <c r="L42" s="42"/>
      <c r="Q42" s="342"/>
      <c r="S42" s="113"/>
      <c r="T42" s="101"/>
      <c r="U42" s="101"/>
      <c r="V42" s="111"/>
      <c r="W42" s="102"/>
    </row>
    <row r="43" spans="2:23" x14ac:dyDescent="0.25">
      <c r="B43" s="440"/>
      <c r="C43" s="20"/>
      <c r="D43" s="20"/>
      <c r="E43" s="20"/>
      <c r="F43" s="20"/>
      <c r="G43" s="20"/>
      <c r="H43" s="20"/>
      <c r="I43" s="20"/>
      <c r="J43" s="20"/>
      <c r="K43" s="20"/>
      <c r="L43" s="42"/>
      <c r="Q43" s="342"/>
      <c r="S43" s="113"/>
      <c r="T43" s="113"/>
      <c r="U43" s="113"/>
      <c r="V43" s="114"/>
      <c r="W43" s="103"/>
    </row>
    <row r="44" spans="2:23" x14ac:dyDescent="0.25">
      <c r="B44" s="440"/>
      <c r="C44" s="20"/>
      <c r="D44" s="20"/>
      <c r="E44" s="20"/>
      <c r="F44" s="20"/>
      <c r="G44" s="20"/>
      <c r="H44" s="20"/>
      <c r="I44" s="20"/>
      <c r="J44" s="20"/>
      <c r="K44" s="20"/>
      <c r="L44" s="99"/>
      <c r="Q44" s="342"/>
      <c r="S44" s="113"/>
      <c r="T44" s="101"/>
      <c r="U44" s="101"/>
      <c r="V44" s="111"/>
      <c r="W44" s="102"/>
    </row>
    <row r="45" spans="2:23" ht="14" x14ac:dyDescent="0.3">
      <c r="B45" s="440"/>
      <c r="C45" s="20"/>
      <c r="D45" s="20"/>
      <c r="E45" s="20"/>
      <c r="F45" s="20"/>
      <c r="G45" s="20"/>
      <c r="H45" s="20"/>
      <c r="I45" s="20"/>
      <c r="J45" s="20"/>
      <c r="K45" s="20"/>
      <c r="L45" s="112" t="str">
        <f>'KOM, SDM&amp;Listrik '!L51</f>
        <v>M. Iqbal Rokan, S.STP.</v>
      </c>
      <c r="Q45" s="342"/>
      <c r="S45" s="2704" t="str">
        <f>'KOM, SDM&amp;Listrik '!S51:U51</f>
        <v>Bustami, SH</v>
      </c>
      <c r="T45" s="2704"/>
      <c r="U45" s="2704"/>
      <c r="V45" s="45"/>
      <c r="W45" s="104"/>
    </row>
    <row r="46" spans="2:23" x14ac:dyDescent="0.25">
      <c r="B46" s="440"/>
      <c r="C46" s="20"/>
      <c r="D46" s="20"/>
      <c r="E46" s="20"/>
      <c r="F46" s="20"/>
      <c r="G46" s="20"/>
      <c r="H46" s="20"/>
      <c r="I46" s="20"/>
      <c r="J46" s="20"/>
      <c r="K46" s="20"/>
      <c r="L46" s="333" t="str">
        <f>'KOM, SDM&amp;Listrik '!L52</f>
        <v>Nip. 19780505 199810 1 001</v>
      </c>
      <c r="Q46" s="342"/>
      <c r="S46" s="2703" t="str">
        <f>'KOM, SDM&amp;Listrik '!S52:U52</f>
        <v>Pembina Utama Muda / Nip. 196308241987031004</v>
      </c>
      <c r="T46" s="2703"/>
      <c r="U46" s="2703"/>
      <c r="V46" s="44"/>
      <c r="W46" s="22"/>
    </row>
    <row r="47" spans="2:23" x14ac:dyDescent="0.25">
      <c r="B47" s="440"/>
      <c r="C47" s="20"/>
      <c r="D47" s="20"/>
      <c r="E47" s="20"/>
      <c r="F47" s="20"/>
      <c r="G47" s="20"/>
      <c r="H47" s="20"/>
      <c r="I47" s="20"/>
      <c r="J47" s="20"/>
      <c r="K47" s="20"/>
      <c r="L47" s="333"/>
      <c r="Q47" s="342"/>
      <c r="S47" s="333"/>
      <c r="T47" s="333"/>
      <c r="U47" s="333"/>
      <c r="V47" s="441"/>
      <c r="W47" s="21"/>
    </row>
    <row r="48" spans="2:23" ht="14.25" customHeight="1" x14ac:dyDescent="0.25">
      <c r="B48" s="2705" t="s">
        <v>286</v>
      </c>
      <c r="C48" s="2706"/>
      <c r="D48" s="2706"/>
      <c r="E48" s="2706"/>
      <c r="F48" s="2706"/>
      <c r="G48" s="2706"/>
      <c r="H48" s="2706"/>
      <c r="I48" s="2706"/>
      <c r="J48" s="2706"/>
      <c r="K48" s="2706"/>
      <c r="L48" s="2706"/>
      <c r="M48" s="2707" t="s">
        <v>145</v>
      </c>
      <c r="N48" s="2708"/>
      <c r="O48" s="2708"/>
      <c r="P48" s="2708"/>
      <c r="Q48" s="2708"/>
      <c r="R48" s="2708"/>
      <c r="S48" s="2708"/>
      <c r="T48" s="2708"/>
      <c r="U48" s="2708"/>
      <c r="V48" s="2709"/>
    </row>
    <row r="49" spans="2:22" ht="14.25" customHeight="1" x14ac:dyDescent="0.3">
      <c r="B49" s="2710"/>
      <c r="C49" s="2711"/>
      <c r="D49" s="2711"/>
      <c r="E49" s="2711"/>
      <c r="F49" s="2711"/>
      <c r="G49" s="2711"/>
      <c r="H49" s="2711"/>
      <c r="I49" s="2711"/>
      <c r="J49" s="2711"/>
      <c r="K49" s="2711"/>
      <c r="L49" s="2712"/>
      <c r="M49" s="331" t="s">
        <v>142</v>
      </c>
      <c r="N49" s="2713"/>
      <c r="O49" s="2713"/>
      <c r="P49" s="2713"/>
      <c r="Q49" s="2714" t="s">
        <v>143</v>
      </c>
      <c r="R49" s="2714"/>
      <c r="S49" s="2714"/>
      <c r="T49" s="332" t="s">
        <v>144</v>
      </c>
      <c r="U49" s="2714" t="s">
        <v>146</v>
      </c>
      <c r="V49" s="2715"/>
    </row>
    <row r="50" spans="2:22" ht="14.25" customHeight="1" x14ac:dyDescent="0.3">
      <c r="B50" s="2716" t="s">
        <v>293</v>
      </c>
      <c r="C50" s="2717"/>
      <c r="D50" s="2717"/>
      <c r="E50" s="2717"/>
      <c r="F50" s="2717"/>
      <c r="G50" s="2717"/>
      <c r="H50" s="2717"/>
      <c r="I50" s="2717"/>
      <c r="J50" s="2717"/>
      <c r="K50" s="2717"/>
      <c r="L50" s="107">
        <v>0</v>
      </c>
      <c r="M50" s="118">
        <v>1</v>
      </c>
      <c r="N50" s="2718" t="str">
        <f>'KOM, SDM&amp;Listrik '!N56:P56</f>
        <v>Weri, SE. MA</v>
      </c>
      <c r="O50" s="2719"/>
      <c r="P50" s="2719"/>
      <c r="Q50" s="2720" t="str">
        <f>'KOM, SDM&amp;Listrik '!Q56:S56</f>
        <v>19640525 198903 1 026</v>
      </c>
      <c r="R50" s="2721"/>
      <c r="S50" s="2722"/>
      <c r="T50" s="109" t="s">
        <v>302</v>
      </c>
      <c r="U50" s="442" t="s">
        <v>287</v>
      </c>
      <c r="V50" s="443"/>
    </row>
    <row r="51" spans="2:22" ht="14" x14ac:dyDescent="0.3">
      <c r="B51" s="2716" t="s">
        <v>294</v>
      </c>
      <c r="C51" s="2717"/>
      <c r="D51" s="2717"/>
      <c r="E51" s="2717"/>
      <c r="F51" s="2717"/>
      <c r="G51" s="2717"/>
      <c r="H51" s="2717"/>
      <c r="I51" s="2717"/>
      <c r="J51" s="2717"/>
      <c r="K51" s="2717"/>
      <c r="L51" s="107">
        <v>0</v>
      </c>
      <c r="M51" s="118">
        <v>2</v>
      </c>
      <c r="N51" s="2723" t="str">
        <f>'KOM, SDM&amp;Listrik '!N57:P57</f>
        <v>Azmi, SH</v>
      </c>
      <c r="O51" s="2724"/>
      <c r="P51" s="2724"/>
      <c r="Q51" s="2720" t="str">
        <f>'KOM, SDM&amp;Listrik '!Q57:S57</f>
        <v>19680824 199903 1 004</v>
      </c>
      <c r="R51" s="2721"/>
      <c r="S51" s="2722"/>
      <c r="T51" s="109" t="s">
        <v>303</v>
      </c>
      <c r="U51" s="444"/>
      <c r="V51" s="445" t="s">
        <v>128</v>
      </c>
    </row>
    <row r="52" spans="2:22" ht="14" x14ac:dyDescent="0.3">
      <c r="B52" s="2716" t="s">
        <v>295</v>
      </c>
      <c r="C52" s="2717"/>
      <c r="D52" s="2717"/>
      <c r="E52" s="2717"/>
      <c r="F52" s="2717"/>
      <c r="G52" s="2717"/>
      <c r="H52" s="2717"/>
      <c r="I52" s="2717"/>
      <c r="J52" s="2717"/>
      <c r="K52" s="2717"/>
      <c r="L52" s="107">
        <v>0</v>
      </c>
      <c r="M52" s="117">
        <v>3</v>
      </c>
      <c r="N52" s="2723" t="str">
        <f>'KOM, SDM&amp;Listrik '!N58:P58</f>
        <v>Muhammad Syaifuddin Ambia, ST, MT</v>
      </c>
      <c r="O52" s="2724"/>
      <c r="P52" s="2724"/>
      <c r="Q52" s="2720" t="str">
        <f>'KOM, SDM&amp;Listrik '!Q58:S58</f>
        <v>19741010 200604 1 003</v>
      </c>
      <c r="R52" s="2721"/>
      <c r="S52" s="2722"/>
      <c r="T52" s="109" t="s">
        <v>304</v>
      </c>
      <c r="U52" s="446" t="s">
        <v>292</v>
      </c>
      <c r="V52" s="443"/>
    </row>
    <row r="53" spans="2:22" ht="15" customHeight="1" x14ac:dyDescent="0.3">
      <c r="B53" s="2716" t="s">
        <v>296</v>
      </c>
      <c r="C53" s="2717"/>
      <c r="D53" s="2717"/>
      <c r="E53" s="2717"/>
      <c r="F53" s="2717"/>
      <c r="G53" s="2717"/>
      <c r="H53" s="2717"/>
      <c r="I53" s="2717"/>
      <c r="J53" s="2717"/>
      <c r="K53" s="2717"/>
      <c r="L53" s="107">
        <v>0</v>
      </c>
      <c r="M53" s="118">
        <v>4</v>
      </c>
      <c r="N53" s="2723" t="str">
        <f>'KOM, SDM&amp;Listrik '!N59:P59</f>
        <v>Basri, SE, M.Si</v>
      </c>
      <c r="O53" s="2724"/>
      <c r="P53" s="2724"/>
      <c r="Q53" s="2720" t="str">
        <f>'KOM, SDM&amp;Listrik '!Q59:S59</f>
        <v>19691213 199403 1 002</v>
      </c>
      <c r="R53" s="2721"/>
      <c r="S53" s="2722"/>
      <c r="T53" s="109" t="s">
        <v>305</v>
      </c>
      <c r="U53" s="444"/>
      <c r="V53" s="445" t="s">
        <v>288</v>
      </c>
    </row>
    <row r="54" spans="2:22" ht="14" x14ac:dyDescent="0.3">
      <c r="B54" s="2716" t="s">
        <v>297</v>
      </c>
      <c r="C54" s="2717"/>
      <c r="D54" s="2717"/>
      <c r="E54" s="2717"/>
      <c r="F54" s="2717"/>
      <c r="G54" s="2717"/>
      <c r="H54" s="2717"/>
      <c r="I54" s="2717"/>
      <c r="J54" s="2717"/>
      <c r="K54" s="2717"/>
      <c r="L54" s="108">
        <f>SUM(L50:L53)</f>
        <v>0</v>
      </c>
      <c r="M54" s="105">
        <v>5</v>
      </c>
      <c r="N54" s="2723" t="str">
        <f>'KOM, SDM&amp;Listrik '!N60:P60</f>
        <v>Dewi Shinta Reza, SE. Ak</v>
      </c>
      <c r="O54" s="2724"/>
      <c r="P54" s="2724"/>
      <c r="Q54" s="2720" t="str">
        <f>'KOM, SDM&amp;Listrik '!Q60:S60</f>
        <v>19750630 200212 2 003</v>
      </c>
      <c r="R54" s="2721"/>
      <c r="S54" s="2722"/>
      <c r="T54" s="109" t="s">
        <v>306</v>
      </c>
      <c r="U54" s="446" t="s">
        <v>289</v>
      </c>
      <c r="V54" s="443"/>
    </row>
    <row r="55" spans="2:22" ht="13.5" customHeight="1" x14ac:dyDescent="0.3">
      <c r="B55" s="2710"/>
      <c r="C55" s="2711"/>
      <c r="D55" s="2711"/>
      <c r="E55" s="2711"/>
      <c r="F55" s="2711"/>
      <c r="G55" s="2711"/>
      <c r="H55" s="2711"/>
      <c r="I55" s="2711"/>
      <c r="J55" s="2711"/>
      <c r="K55" s="2711"/>
      <c r="L55" s="2712"/>
      <c r="M55" s="105">
        <v>6</v>
      </c>
      <c r="N55" s="2718" t="str">
        <f>'KOM, SDM&amp;Listrik '!N61:P61</f>
        <v>Harisman, S.STP, M.Ec.Dev</v>
      </c>
      <c r="O55" s="2719"/>
      <c r="P55" s="2719"/>
      <c r="Q55" s="2720" t="str">
        <f>'KOM, SDM&amp;Listrik '!Q61:S61</f>
        <v>19830101 200112 1 003</v>
      </c>
      <c r="R55" s="2721"/>
      <c r="S55" s="2722"/>
      <c r="T55" s="109" t="s">
        <v>307</v>
      </c>
      <c r="U55" s="444"/>
      <c r="V55" s="445" t="s">
        <v>290</v>
      </c>
    </row>
    <row r="56" spans="2:22" ht="14.5" thickBot="1" x14ac:dyDescent="0.35">
      <c r="B56" s="2725"/>
      <c r="C56" s="2726"/>
      <c r="D56" s="2726"/>
      <c r="E56" s="2726"/>
      <c r="F56" s="2726"/>
      <c r="G56" s="2726"/>
      <c r="H56" s="2726"/>
      <c r="I56" s="2726"/>
      <c r="J56" s="2726"/>
      <c r="K56" s="2726"/>
      <c r="L56" s="2727"/>
      <c r="M56" s="106">
        <v>7</v>
      </c>
      <c r="N56" s="2728" t="str">
        <f>'KOM, SDM&amp;Listrik '!N62:P62</f>
        <v>Alriandi, S.STP, M.Si</v>
      </c>
      <c r="O56" s="2729"/>
      <c r="P56" s="2729"/>
      <c r="Q56" s="2733" t="str">
        <f>'KOM, SDM&amp;Listrik '!Q62:S62</f>
        <v>19830308 200112 1 001</v>
      </c>
      <c r="R56" s="2734"/>
      <c r="S56" s="2735"/>
      <c r="T56" s="110" t="s">
        <v>308</v>
      </c>
      <c r="U56" s="447" t="s">
        <v>291</v>
      </c>
      <c r="V56" s="448"/>
    </row>
    <row r="57" spans="2:22" ht="13" thickTop="1" x14ac:dyDescent="0.25">
      <c r="B57" s="342"/>
      <c r="C57" s="342"/>
      <c r="D57" s="342"/>
      <c r="E57" s="342"/>
      <c r="F57" s="342"/>
      <c r="G57" s="342"/>
      <c r="H57" s="342"/>
      <c r="I57" s="342"/>
      <c r="J57" s="342"/>
      <c r="K57" s="342"/>
      <c r="L57" s="342"/>
      <c r="M57" s="342"/>
      <c r="N57" s="342"/>
      <c r="O57" s="342"/>
      <c r="P57" s="342"/>
    </row>
    <row r="58" spans="2:22" x14ac:dyDescent="0.25">
      <c r="B58" s="342"/>
      <c r="C58" s="342"/>
      <c r="D58" s="342"/>
      <c r="E58" s="342"/>
      <c r="F58" s="342"/>
      <c r="G58" s="342"/>
      <c r="H58" s="342"/>
      <c r="I58" s="342"/>
      <c r="J58" s="342"/>
      <c r="K58" s="342"/>
      <c r="L58" s="342"/>
      <c r="M58" s="342"/>
      <c r="N58" s="342"/>
      <c r="O58" s="342"/>
      <c r="P58" s="342"/>
    </row>
    <row r="59" spans="2:22" x14ac:dyDescent="0.25">
      <c r="B59" s="342"/>
      <c r="C59" s="342"/>
      <c r="D59" s="342"/>
      <c r="E59" s="342"/>
      <c r="F59" s="342"/>
      <c r="G59" s="342"/>
      <c r="H59" s="342"/>
      <c r="I59" s="342"/>
      <c r="J59" s="342"/>
      <c r="K59" s="342"/>
      <c r="L59" s="342"/>
      <c r="M59" s="342"/>
      <c r="N59" s="342"/>
      <c r="O59" s="342"/>
      <c r="P59" s="342"/>
    </row>
    <row r="60" spans="2:22" x14ac:dyDescent="0.25">
      <c r="B60" s="342"/>
      <c r="C60" s="342"/>
      <c r="D60" s="342"/>
      <c r="E60" s="342"/>
      <c r="F60" s="342"/>
      <c r="G60" s="342"/>
      <c r="H60" s="342"/>
      <c r="I60" s="342"/>
      <c r="J60" s="342"/>
      <c r="K60" s="342"/>
      <c r="L60" s="342"/>
      <c r="M60" s="342"/>
      <c r="N60" s="342"/>
      <c r="O60" s="342"/>
      <c r="P60" s="342"/>
    </row>
    <row r="61" spans="2:22" x14ac:dyDescent="0.25">
      <c r="B61" s="342"/>
      <c r="C61" s="342"/>
      <c r="D61" s="342"/>
      <c r="E61" s="342"/>
      <c r="F61" s="342"/>
      <c r="G61" s="342"/>
      <c r="H61" s="342"/>
      <c r="I61" s="342"/>
      <c r="J61" s="342"/>
      <c r="K61" s="342"/>
      <c r="L61" s="342"/>
      <c r="M61" s="342"/>
      <c r="N61" s="342"/>
      <c r="O61" s="342"/>
      <c r="P61" s="342"/>
    </row>
    <row r="62" spans="2:22" x14ac:dyDescent="0.25">
      <c r="B62" s="342"/>
      <c r="C62" s="342"/>
      <c r="D62" s="342"/>
      <c r="E62" s="342"/>
      <c r="F62" s="342"/>
      <c r="G62" s="342"/>
      <c r="H62" s="342"/>
      <c r="I62" s="342"/>
      <c r="J62" s="342"/>
      <c r="K62" s="342"/>
      <c r="L62" s="342"/>
      <c r="M62" s="342"/>
      <c r="N62" s="342"/>
      <c r="O62" s="342"/>
      <c r="P62" s="342"/>
    </row>
    <row r="63" spans="2:22" x14ac:dyDescent="0.25">
      <c r="B63" s="342"/>
      <c r="C63" s="342"/>
      <c r="D63" s="342"/>
      <c r="E63" s="342"/>
      <c r="F63" s="342"/>
      <c r="G63" s="342"/>
      <c r="H63" s="342"/>
      <c r="I63" s="342"/>
      <c r="J63" s="342"/>
      <c r="K63" s="342"/>
      <c r="L63" s="342"/>
      <c r="M63" s="342"/>
      <c r="N63" s="342"/>
      <c r="O63" s="342"/>
      <c r="P63" s="342"/>
    </row>
    <row r="64" spans="2:22" x14ac:dyDescent="0.25">
      <c r="B64" s="342"/>
      <c r="C64" s="342"/>
      <c r="D64" s="342"/>
      <c r="E64" s="342"/>
      <c r="F64" s="342"/>
      <c r="G64" s="342"/>
      <c r="H64" s="342"/>
      <c r="I64" s="342"/>
      <c r="J64" s="342"/>
      <c r="K64" s="342"/>
      <c r="L64" s="342"/>
      <c r="M64" s="342"/>
      <c r="N64" s="342"/>
      <c r="O64" s="342"/>
      <c r="P64" s="342"/>
    </row>
    <row r="65" spans="2:16" x14ac:dyDescent="0.25">
      <c r="B65" s="342"/>
      <c r="C65" s="342"/>
      <c r="D65" s="342"/>
      <c r="E65" s="342"/>
      <c r="F65" s="342"/>
      <c r="G65" s="342"/>
      <c r="H65" s="342"/>
      <c r="I65" s="342"/>
      <c r="J65" s="342"/>
      <c r="K65" s="342"/>
      <c r="L65" s="342"/>
      <c r="M65" s="342"/>
      <c r="N65" s="342"/>
      <c r="O65" s="342"/>
      <c r="P65" s="342"/>
    </row>
    <row r="66" spans="2:16" x14ac:dyDescent="0.25">
      <c r="B66" s="342"/>
      <c r="C66" s="342"/>
      <c r="D66" s="342"/>
      <c r="E66" s="342"/>
      <c r="F66" s="342"/>
      <c r="G66" s="342"/>
      <c r="H66" s="342"/>
      <c r="I66" s="342"/>
      <c r="J66" s="342"/>
      <c r="K66" s="342"/>
      <c r="L66" s="342"/>
      <c r="M66" s="342"/>
      <c r="N66" s="342"/>
      <c r="O66" s="342"/>
      <c r="P66" s="342"/>
    </row>
    <row r="67" spans="2:16" x14ac:dyDescent="0.25">
      <c r="B67" s="342"/>
      <c r="C67" s="342"/>
      <c r="D67" s="342"/>
      <c r="E67" s="342"/>
      <c r="F67" s="342"/>
      <c r="G67" s="342"/>
      <c r="H67" s="342"/>
      <c r="I67" s="342"/>
      <c r="J67" s="342"/>
      <c r="K67" s="342"/>
      <c r="L67" s="342"/>
      <c r="M67" s="342"/>
      <c r="N67" s="342"/>
      <c r="O67" s="342"/>
      <c r="P67" s="342"/>
    </row>
    <row r="68" spans="2:16" x14ac:dyDescent="0.25">
      <c r="B68" s="342"/>
      <c r="C68" s="342"/>
      <c r="D68" s="342"/>
      <c r="E68" s="342"/>
      <c r="F68" s="342"/>
      <c r="G68" s="342"/>
      <c r="H68" s="342"/>
      <c r="I68" s="342"/>
      <c r="J68" s="342"/>
      <c r="K68" s="342"/>
      <c r="L68" s="342"/>
      <c r="M68" s="342"/>
      <c r="N68" s="342"/>
      <c r="O68" s="342"/>
      <c r="P68" s="342"/>
    </row>
    <row r="69" spans="2:16" x14ac:dyDescent="0.25">
      <c r="B69" s="342"/>
      <c r="C69" s="342"/>
      <c r="D69" s="342"/>
      <c r="E69" s="342"/>
      <c r="F69" s="342"/>
      <c r="G69" s="342"/>
      <c r="H69" s="342"/>
      <c r="I69" s="342"/>
      <c r="J69" s="342"/>
      <c r="K69" s="342"/>
      <c r="L69" s="342"/>
      <c r="M69" s="342"/>
      <c r="N69" s="342"/>
      <c r="O69" s="342"/>
      <c r="P69" s="342"/>
    </row>
    <row r="70" spans="2:16" x14ac:dyDescent="0.25">
      <c r="B70" s="342"/>
      <c r="C70" s="342"/>
      <c r="D70" s="342"/>
      <c r="E70" s="342"/>
      <c r="F70" s="342"/>
      <c r="G70" s="342"/>
      <c r="H70" s="342"/>
      <c r="I70" s="342"/>
      <c r="J70" s="342"/>
      <c r="K70" s="342"/>
      <c r="L70" s="342"/>
      <c r="M70" s="342"/>
      <c r="N70" s="342"/>
      <c r="O70" s="342"/>
      <c r="P70" s="342"/>
    </row>
    <row r="71" spans="2:16" x14ac:dyDescent="0.25">
      <c r="B71" s="342"/>
      <c r="C71" s="342"/>
      <c r="D71" s="342"/>
      <c r="E71" s="342"/>
      <c r="F71" s="342"/>
      <c r="G71" s="342"/>
      <c r="H71" s="342"/>
      <c r="I71" s="342"/>
      <c r="J71" s="342"/>
      <c r="K71" s="342"/>
      <c r="L71" s="342"/>
      <c r="M71" s="342"/>
      <c r="N71" s="342"/>
      <c r="O71" s="342"/>
      <c r="P71" s="342"/>
    </row>
    <row r="72" spans="2:16" x14ac:dyDescent="0.25">
      <c r="B72" s="342"/>
      <c r="C72" s="342"/>
      <c r="D72" s="342"/>
      <c r="E72" s="342"/>
      <c r="F72" s="342"/>
      <c r="G72" s="342"/>
      <c r="H72" s="342"/>
      <c r="I72" s="342"/>
      <c r="J72" s="342"/>
      <c r="K72" s="342"/>
      <c r="L72" s="342"/>
      <c r="M72" s="342"/>
      <c r="N72" s="342"/>
      <c r="O72" s="342"/>
      <c r="P72" s="342"/>
    </row>
    <row r="73" spans="2:16" x14ac:dyDescent="0.25">
      <c r="B73" s="342"/>
      <c r="C73" s="342"/>
      <c r="D73" s="342"/>
      <c r="E73" s="342"/>
      <c r="F73" s="342"/>
      <c r="G73" s="342"/>
      <c r="H73" s="342"/>
      <c r="I73" s="342"/>
      <c r="J73" s="342"/>
      <c r="K73" s="342"/>
      <c r="L73" s="342"/>
      <c r="M73" s="342"/>
      <c r="N73" s="342"/>
      <c r="O73" s="342"/>
      <c r="P73"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48:L48"/>
    <mergeCell ref="M48:V48"/>
    <mergeCell ref="B27:K27"/>
    <mergeCell ref="B37:O37"/>
    <mergeCell ref="Q37:S37"/>
    <mergeCell ref="B38:V38"/>
    <mergeCell ref="S39:U39"/>
    <mergeCell ref="S40:U40"/>
    <mergeCell ref="S41:U41"/>
    <mergeCell ref="S45:U45"/>
    <mergeCell ref="S46:U46"/>
    <mergeCell ref="B49:L49"/>
    <mergeCell ref="N49:P49"/>
    <mergeCell ref="Q49:S49"/>
    <mergeCell ref="U49:V49"/>
    <mergeCell ref="B50:K50"/>
    <mergeCell ref="N50:P50"/>
    <mergeCell ref="Q50:S50"/>
    <mergeCell ref="B51:K51"/>
    <mergeCell ref="N51:P51"/>
    <mergeCell ref="Q51:S51"/>
    <mergeCell ref="B52:K52"/>
    <mergeCell ref="N52:P52"/>
    <mergeCell ref="Q52:S52"/>
    <mergeCell ref="B53:K53"/>
    <mergeCell ref="N53:P53"/>
    <mergeCell ref="Q53:S53"/>
    <mergeCell ref="B54:K54"/>
    <mergeCell ref="N54:P54"/>
    <mergeCell ref="Q54:S54"/>
    <mergeCell ref="B55:L55"/>
    <mergeCell ref="N55:P55"/>
    <mergeCell ref="Q55:S55"/>
    <mergeCell ref="B56:L56"/>
    <mergeCell ref="N56:P56"/>
    <mergeCell ref="Q56:S56"/>
  </mergeCells>
  <pageMargins left="0.511811023622047" right="1.0255905510000001" top="0.511811023622047" bottom="0.47244094488188998" header="0.31496062992126" footer="0.31496062992126"/>
  <pageSetup paperSize="5" scale="62" orientation="landscape"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105"/>
  <sheetViews>
    <sheetView view="pageBreakPreview" topLeftCell="A39" zoomScale="70" zoomScaleNormal="69" zoomScaleSheetLayoutView="70" workbookViewId="0">
      <selection activeCell="L28" sqref="L28"/>
    </sheetView>
  </sheetViews>
  <sheetFormatPr defaultColWidth="8.7265625" defaultRowHeight="12.5" x14ac:dyDescent="0.25"/>
  <cols>
    <col min="1" max="1" width="3.72656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53.453125" style="341" customWidth="1"/>
    <col min="13" max="13" width="8.81640625" style="341" customWidth="1"/>
    <col min="14" max="14" width="9.26953125" style="341" customWidth="1"/>
    <col min="15" max="15" width="15.1796875" style="341" customWidth="1"/>
    <col min="16" max="16" width="21.1796875" style="341" customWidth="1"/>
    <col min="17" max="17" width="9" style="341" customWidth="1"/>
    <col min="18" max="18" width="8.81640625" style="341" customWidth="1"/>
    <col min="19" max="19" width="15.1796875" style="341" customWidth="1"/>
    <col min="20" max="20" width="21.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884" t="s">
        <v>337</v>
      </c>
      <c r="T3" s="2672"/>
      <c r="U3" s="2885"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'Rapat Luar Daerah'!B5:V5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794"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795"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796"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250</v>
      </c>
      <c r="M9" s="2866" t="s">
        <v>336</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'Rapat Luar Daerah'!M10:V10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791" t="s">
        <v>270</v>
      </c>
      <c r="M15" s="2859" t="s">
        <v>281</v>
      </c>
      <c r="N15" s="2851"/>
      <c r="O15" s="2851"/>
      <c r="P15" s="2860"/>
      <c r="Q15" s="2713" t="s">
        <v>270</v>
      </c>
      <c r="R15" s="2713"/>
      <c r="S15" s="2713"/>
      <c r="T15" s="2713" t="s">
        <v>281</v>
      </c>
      <c r="U15" s="2713"/>
      <c r="V15" s="2861"/>
      <c r="W15" s="520"/>
    </row>
    <row r="16" spans="2:24" ht="28" customHeight="1" x14ac:dyDescent="0.25">
      <c r="B16" s="2834" t="s">
        <v>14</v>
      </c>
      <c r="C16" s="2835"/>
      <c r="D16" s="2835"/>
      <c r="E16" s="2835"/>
      <c r="F16" s="2835"/>
      <c r="G16" s="2835"/>
      <c r="H16" s="2835"/>
      <c r="I16" s="2835"/>
      <c r="J16" s="2835"/>
      <c r="K16" s="2883"/>
      <c r="L16" s="734" t="s">
        <v>493</v>
      </c>
      <c r="M16" s="2507" t="str">
        <f>L16</f>
        <v>Persentase jasa tenaga pendukung adminstrasi/teknis perkantoran yang disediakan</v>
      </c>
      <c r="N16" s="2508"/>
      <c r="O16" s="2508"/>
      <c r="P16" s="2886"/>
      <c r="Q16" s="2830">
        <v>1</v>
      </c>
      <c r="R16" s="2616"/>
      <c r="S16" s="2616"/>
      <c r="T16" s="2831">
        <f>Q16</f>
        <v>1</v>
      </c>
      <c r="U16" s="2832"/>
      <c r="V16" s="2833"/>
      <c r="W16" s="522"/>
      <c r="X16" s="523"/>
    </row>
    <row r="17" spans="2:22" ht="14" x14ac:dyDescent="0.3">
      <c r="B17" s="2817" t="s">
        <v>135</v>
      </c>
      <c r="C17" s="2818"/>
      <c r="D17" s="2818"/>
      <c r="E17" s="2818"/>
      <c r="F17" s="2818"/>
      <c r="G17" s="2818"/>
      <c r="H17" s="2818"/>
      <c r="I17" s="2818"/>
      <c r="J17" s="2818"/>
      <c r="K17" s="2882"/>
      <c r="L17" s="524" t="s">
        <v>430</v>
      </c>
      <c r="M17" s="2838" t="str">
        <f>L17</f>
        <v>Jumlah Dana Yang Dibutuhkan</v>
      </c>
      <c r="N17" s="2838"/>
      <c r="O17" s="2838"/>
      <c r="P17" s="2838"/>
      <c r="Q17" s="2839">
        <f>P28</f>
        <v>874860000</v>
      </c>
      <c r="R17" s="2840"/>
      <c r="S17" s="2841"/>
      <c r="T17" s="2842">
        <f>T28</f>
        <v>885660000</v>
      </c>
      <c r="U17" s="2842"/>
      <c r="V17" s="2843"/>
    </row>
    <row r="18" spans="2:22" ht="28.5" customHeight="1" x14ac:dyDescent="0.25">
      <c r="B18" s="2887" t="s">
        <v>136</v>
      </c>
      <c r="C18" s="2888"/>
      <c r="D18" s="2888"/>
      <c r="E18" s="2888"/>
      <c r="F18" s="2888"/>
      <c r="G18" s="2888"/>
      <c r="H18" s="2888"/>
      <c r="I18" s="2888"/>
      <c r="J18" s="2888"/>
      <c r="K18" s="2889"/>
      <c r="L18" s="734" t="s">
        <v>494</v>
      </c>
      <c r="M18" s="2875" t="str">
        <f>L18</f>
        <v>Jumlah waktu jasa tenaga pendukung adminstrasi/teknis perkantoran yang disediakan</v>
      </c>
      <c r="N18" s="2875"/>
      <c r="O18" s="2875"/>
      <c r="P18" s="2875"/>
      <c r="Q18" s="2616" t="s">
        <v>149</v>
      </c>
      <c r="R18" s="2616"/>
      <c r="S18" s="2616"/>
      <c r="T18" s="2616" t="str">
        <f>Q18</f>
        <v>12 bln</v>
      </c>
      <c r="U18" s="2616"/>
      <c r="V18" s="2837"/>
    </row>
    <row r="19" spans="2:22" ht="14" x14ac:dyDescent="0.3">
      <c r="B19" s="2817" t="s">
        <v>137</v>
      </c>
      <c r="C19" s="2818"/>
      <c r="D19" s="2818"/>
      <c r="E19" s="2818"/>
      <c r="F19" s="2818"/>
      <c r="G19" s="2818"/>
      <c r="H19" s="2818"/>
      <c r="I19" s="2818"/>
      <c r="J19" s="2818"/>
      <c r="K19" s="2882"/>
      <c r="L19" s="525" t="s">
        <v>478</v>
      </c>
      <c r="M19" s="2820" t="str">
        <f>L19</f>
        <v>Tingkat pelayanan administrasi perkantoran yang maksimal</v>
      </c>
      <c r="N19" s="2820"/>
      <c r="O19" s="2820"/>
      <c r="P19" s="2820"/>
      <c r="Q19" s="2821">
        <v>1</v>
      </c>
      <c r="R19" s="2822"/>
      <c r="S19" s="2822"/>
      <c r="T19" s="2821">
        <f>Q19</f>
        <v>1</v>
      </c>
      <c r="U19" s="2822"/>
      <c r="V19" s="2823"/>
    </row>
    <row r="20" spans="2:22" ht="14.25" customHeight="1" x14ac:dyDescent="0.3">
      <c r="B20" s="2824" t="s">
        <v>338</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876"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876"/>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15" t="s">
        <v>122</v>
      </c>
      <c r="Q24" s="2878" t="s">
        <v>127</v>
      </c>
      <c r="R24" s="2880" t="s">
        <v>8</v>
      </c>
      <c r="S24" s="2880" t="s">
        <v>129</v>
      </c>
      <c r="T24" s="8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15" t="s">
        <v>123</v>
      </c>
      <c r="Q25" s="2879"/>
      <c r="R25" s="2881"/>
      <c r="S25" s="2881"/>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793" t="s">
        <v>7</v>
      </c>
      <c r="Q27" s="147">
        <v>7</v>
      </c>
      <c r="R27" s="147">
        <v>8</v>
      </c>
      <c r="S27" s="86">
        <v>9</v>
      </c>
      <c r="T27" s="90" t="s">
        <v>275</v>
      </c>
      <c r="U27" s="1337" t="s">
        <v>274</v>
      </c>
      <c r="V27" s="93">
        <v>12</v>
      </c>
    </row>
    <row r="28" spans="2:22" ht="13" thickTop="1" x14ac:dyDescent="0.25">
      <c r="B28" s="735">
        <v>1</v>
      </c>
      <c r="C28" s="736" t="s">
        <v>239</v>
      </c>
      <c r="D28" s="736" t="s">
        <v>84</v>
      </c>
      <c r="E28" s="738"/>
      <c r="F28" s="739"/>
      <c r="G28" s="740">
        <v>5</v>
      </c>
      <c r="H28" s="740">
        <v>2</v>
      </c>
      <c r="I28" s="740"/>
      <c r="J28" s="740"/>
      <c r="K28" s="740"/>
      <c r="L28" s="705" t="s">
        <v>54</v>
      </c>
      <c r="M28" s="706"/>
      <c r="N28" s="706"/>
      <c r="O28" s="707"/>
      <c r="P28" s="1540">
        <f>P29</f>
        <v>874860000</v>
      </c>
      <c r="Q28" s="729"/>
      <c r="R28" s="729"/>
      <c r="S28" s="730"/>
      <c r="T28" s="688">
        <f>T29</f>
        <v>885660000</v>
      </c>
      <c r="U28" s="526">
        <f>T28-P28</f>
        <v>10800000</v>
      </c>
      <c r="V28" s="425"/>
    </row>
    <row r="29" spans="2:22" x14ac:dyDescent="0.25">
      <c r="B29" s="735">
        <v>1</v>
      </c>
      <c r="C29" s="736" t="s">
        <v>239</v>
      </c>
      <c r="D29" s="736" t="s">
        <v>84</v>
      </c>
      <c r="E29" s="741" t="s">
        <v>84</v>
      </c>
      <c r="F29" s="742"/>
      <c r="G29" s="740"/>
      <c r="H29" s="740"/>
      <c r="I29" s="740"/>
      <c r="J29" s="740"/>
      <c r="K29" s="740"/>
      <c r="L29" s="710" t="s">
        <v>110</v>
      </c>
      <c r="M29" s="768"/>
      <c r="N29" s="706"/>
      <c r="O29" s="707"/>
      <c r="P29" s="1541">
        <f>P30</f>
        <v>874860000</v>
      </c>
      <c r="Q29" s="768"/>
      <c r="R29" s="706"/>
      <c r="S29" s="707"/>
      <c r="T29" s="1548">
        <f>T30</f>
        <v>885660000</v>
      </c>
      <c r="U29" s="696"/>
      <c r="V29" s="697"/>
    </row>
    <row r="30" spans="2:22" ht="25" x14ac:dyDescent="0.25">
      <c r="B30" s="700">
        <v>1</v>
      </c>
      <c r="C30" s="701" t="s">
        <v>239</v>
      </c>
      <c r="D30" s="701" t="s">
        <v>84</v>
      </c>
      <c r="E30" s="708" t="s">
        <v>84</v>
      </c>
      <c r="F30" s="711">
        <v>20</v>
      </c>
      <c r="G30" s="704"/>
      <c r="H30" s="704"/>
      <c r="I30" s="704"/>
      <c r="J30" s="704"/>
      <c r="K30" s="701"/>
      <c r="L30" s="1554" t="s">
        <v>989</v>
      </c>
      <c r="M30" s="768"/>
      <c r="N30" s="754"/>
      <c r="O30" s="755"/>
      <c r="P30" s="1555">
        <f>SUM(P32+P55)</f>
        <v>874860000</v>
      </c>
      <c r="Q30" s="768"/>
      <c r="R30" s="754"/>
      <c r="S30" s="755"/>
      <c r="T30" s="1556">
        <f>SUM(T32+T55)</f>
        <v>885660000</v>
      </c>
      <c r="U30" s="1557"/>
      <c r="V30" s="697"/>
    </row>
    <row r="31" spans="2:22" x14ac:dyDescent="0.25">
      <c r="B31" s="735"/>
      <c r="C31" s="736"/>
      <c r="D31" s="736"/>
      <c r="E31" s="741"/>
      <c r="F31" s="743"/>
      <c r="G31" s="740"/>
      <c r="H31" s="740"/>
      <c r="I31" s="740"/>
      <c r="J31" s="740"/>
      <c r="K31" s="736"/>
      <c r="L31" s="710"/>
      <c r="M31" s="768"/>
      <c r="N31" s="706"/>
      <c r="O31" s="707"/>
      <c r="P31" s="1542"/>
      <c r="Q31" s="768"/>
      <c r="R31" s="706"/>
      <c r="S31" s="707"/>
      <c r="T31" s="1549"/>
      <c r="U31" s="698"/>
      <c r="V31" s="697"/>
    </row>
    <row r="32" spans="2:22" x14ac:dyDescent="0.25">
      <c r="B32" s="735">
        <v>1</v>
      </c>
      <c r="C32" s="736" t="s">
        <v>239</v>
      </c>
      <c r="D32" s="736" t="s">
        <v>84</v>
      </c>
      <c r="E32" s="741" t="s">
        <v>84</v>
      </c>
      <c r="F32" s="743">
        <v>20</v>
      </c>
      <c r="G32" s="740">
        <v>5</v>
      </c>
      <c r="H32" s="740">
        <v>2</v>
      </c>
      <c r="I32" s="740">
        <v>1</v>
      </c>
      <c r="J32" s="740"/>
      <c r="K32" s="736"/>
      <c r="L32" s="710" t="s">
        <v>39</v>
      </c>
      <c r="M32" s="706"/>
      <c r="N32" s="706"/>
      <c r="O32" s="707"/>
      <c r="P32" s="1543">
        <f>SUM(P33+P49)</f>
        <v>266700000</v>
      </c>
      <c r="Q32" s="706"/>
      <c r="R32" s="706"/>
      <c r="S32" s="707"/>
      <c r="T32" s="1550">
        <f>SUM(T33+T49)</f>
        <v>277500000</v>
      </c>
      <c r="U32" s="698"/>
      <c r="V32" s="697"/>
    </row>
    <row r="33" spans="2:22" x14ac:dyDescent="0.25">
      <c r="B33" s="735">
        <v>1</v>
      </c>
      <c r="C33" s="736" t="s">
        <v>239</v>
      </c>
      <c r="D33" s="736" t="s">
        <v>84</v>
      </c>
      <c r="E33" s="741" t="s">
        <v>84</v>
      </c>
      <c r="F33" s="743">
        <v>20</v>
      </c>
      <c r="G33" s="740">
        <v>5</v>
      </c>
      <c r="H33" s="740">
        <v>2</v>
      </c>
      <c r="I33" s="740">
        <v>1</v>
      </c>
      <c r="J33" s="736" t="s">
        <v>84</v>
      </c>
      <c r="K33" s="736"/>
      <c r="L33" s="710" t="s">
        <v>69</v>
      </c>
      <c r="M33" s="706"/>
      <c r="N33" s="706"/>
      <c r="O33" s="707"/>
      <c r="P33" s="1543">
        <f>SUM(P34+P36+P38)</f>
        <v>74700000</v>
      </c>
      <c r="Q33" s="706"/>
      <c r="R33" s="706"/>
      <c r="S33" s="707"/>
      <c r="T33" s="1550">
        <f>SUM(T34+T36+T38)</f>
        <v>85500000</v>
      </c>
      <c r="U33" s="527"/>
      <c r="V33" s="643">
        <f>U33/P33*100</f>
        <v>0</v>
      </c>
    </row>
    <row r="34" spans="2:22" x14ac:dyDescent="0.25">
      <c r="B34" s="735">
        <v>1</v>
      </c>
      <c r="C34" s="736" t="s">
        <v>239</v>
      </c>
      <c r="D34" s="736" t="s">
        <v>84</v>
      </c>
      <c r="E34" s="741" t="s">
        <v>84</v>
      </c>
      <c r="F34" s="743">
        <v>20</v>
      </c>
      <c r="G34" s="740">
        <v>5</v>
      </c>
      <c r="H34" s="740">
        <v>2</v>
      </c>
      <c r="I34" s="740">
        <v>1</v>
      </c>
      <c r="J34" s="736" t="s">
        <v>84</v>
      </c>
      <c r="K34" s="736" t="s">
        <v>87</v>
      </c>
      <c r="L34" s="715" t="s">
        <v>172</v>
      </c>
      <c r="M34" s="738"/>
      <c r="N34" s="738"/>
      <c r="O34" s="1338"/>
      <c r="P34" s="1543">
        <f>P35</f>
        <v>1800000</v>
      </c>
      <c r="Q34" s="738"/>
      <c r="R34" s="738"/>
      <c r="S34" s="1338"/>
      <c r="T34" s="1550">
        <f>T35</f>
        <v>1800000</v>
      </c>
      <c r="U34" s="527"/>
      <c r="V34" s="643">
        <f>U34/P34*100</f>
        <v>0</v>
      </c>
    </row>
    <row r="35" spans="2:22" ht="25" x14ac:dyDescent="0.25">
      <c r="B35" s="735"/>
      <c r="C35" s="736"/>
      <c r="D35" s="736"/>
      <c r="E35" s="757"/>
      <c r="F35" s="736"/>
      <c r="G35" s="740"/>
      <c r="H35" s="740"/>
      <c r="I35" s="740"/>
      <c r="J35" s="740"/>
      <c r="K35" s="736"/>
      <c r="L35" s="1339" t="s">
        <v>961</v>
      </c>
      <c r="M35" s="1340">
        <v>6</v>
      </c>
      <c r="N35" s="1340" t="s">
        <v>88</v>
      </c>
      <c r="O35" s="1341">
        <v>300000</v>
      </c>
      <c r="P35" s="1558">
        <f t="shared" ref="P35" si="0">M35*O35</f>
        <v>1800000</v>
      </c>
      <c r="Q35" s="1340">
        <v>6</v>
      </c>
      <c r="R35" s="1340" t="s">
        <v>88</v>
      </c>
      <c r="S35" s="1341">
        <v>300000</v>
      </c>
      <c r="T35" s="1559">
        <f t="shared" ref="T35" si="1">Q35*S35</f>
        <v>1800000</v>
      </c>
      <c r="U35" s="756"/>
      <c r="V35" s="439">
        <f>U35/P35*100</f>
        <v>0</v>
      </c>
    </row>
    <row r="36" spans="2:22" x14ac:dyDescent="0.25">
      <c r="B36" s="735">
        <v>1</v>
      </c>
      <c r="C36" s="736" t="s">
        <v>239</v>
      </c>
      <c r="D36" s="736" t="s">
        <v>84</v>
      </c>
      <c r="E36" s="741" t="s">
        <v>84</v>
      </c>
      <c r="F36" s="743">
        <v>20</v>
      </c>
      <c r="G36" s="740">
        <v>5</v>
      </c>
      <c r="H36" s="740">
        <v>2</v>
      </c>
      <c r="I36" s="740">
        <v>1</v>
      </c>
      <c r="J36" s="736" t="s">
        <v>84</v>
      </c>
      <c r="K36" s="736" t="s">
        <v>97</v>
      </c>
      <c r="L36" s="715" t="s">
        <v>962</v>
      </c>
      <c r="M36" s="1342"/>
      <c r="N36" s="1342"/>
      <c r="O36" s="1343"/>
      <c r="P36" s="1543">
        <f>P37</f>
        <v>1800000</v>
      </c>
      <c r="Q36" s="1342"/>
      <c r="R36" s="1342"/>
      <c r="S36" s="1343"/>
      <c r="T36" s="1550">
        <f>T37</f>
        <v>1800000</v>
      </c>
      <c r="U36" s="527">
        <f>SUM(T36)-P36</f>
        <v>0</v>
      </c>
      <c r="V36" s="643"/>
    </row>
    <row r="37" spans="2:22" x14ac:dyDescent="0.25">
      <c r="B37" s="735"/>
      <c r="C37" s="736"/>
      <c r="D37" s="736"/>
      <c r="E37" s="757"/>
      <c r="F37" s="736"/>
      <c r="G37" s="740"/>
      <c r="H37" s="740"/>
      <c r="I37" s="740"/>
      <c r="J37" s="740"/>
      <c r="K37" s="740"/>
      <c r="L37" s="717" t="s">
        <v>602</v>
      </c>
      <c r="M37" s="1344">
        <v>6</v>
      </c>
      <c r="N37" s="1344" t="s">
        <v>88</v>
      </c>
      <c r="O37" s="1345">
        <v>300000</v>
      </c>
      <c r="P37" s="1544">
        <f t="shared" ref="P37" si="2">M37*O37</f>
        <v>1800000</v>
      </c>
      <c r="Q37" s="1344">
        <v>6</v>
      </c>
      <c r="R37" s="1344" t="s">
        <v>88</v>
      </c>
      <c r="S37" s="1345">
        <v>300000</v>
      </c>
      <c r="T37" s="1551">
        <f t="shared" ref="T37" si="3">Q37*S37</f>
        <v>1800000</v>
      </c>
      <c r="U37" s="527">
        <f>SUM(T37)-P37</f>
        <v>0</v>
      </c>
      <c r="V37" s="643"/>
    </row>
    <row r="38" spans="2:22" x14ac:dyDescent="0.25">
      <c r="B38" s="735">
        <v>1</v>
      </c>
      <c r="C38" s="736" t="s">
        <v>239</v>
      </c>
      <c r="D38" s="736" t="s">
        <v>84</v>
      </c>
      <c r="E38" s="741" t="s">
        <v>84</v>
      </c>
      <c r="F38" s="743">
        <v>20</v>
      </c>
      <c r="G38" s="740">
        <v>5</v>
      </c>
      <c r="H38" s="740">
        <v>2</v>
      </c>
      <c r="I38" s="740">
        <v>1</v>
      </c>
      <c r="J38" s="736" t="s">
        <v>84</v>
      </c>
      <c r="K38" s="736" t="s">
        <v>112</v>
      </c>
      <c r="L38" s="715" t="s">
        <v>782</v>
      </c>
      <c r="M38" s="1342"/>
      <c r="N38" s="1342"/>
      <c r="O38" s="1343"/>
      <c r="P38" s="1543">
        <f>SUM(P39:P47)</f>
        <v>71100000</v>
      </c>
      <c r="Q38" s="1342"/>
      <c r="R38" s="1342"/>
      <c r="S38" s="1343"/>
      <c r="T38" s="1550">
        <f>SUM(T39:T47)</f>
        <v>81900000</v>
      </c>
      <c r="U38" s="527"/>
      <c r="V38" s="643"/>
    </row>
    <row r="39" spans="2:22" x14ac:dyDescent="0.25">
      <c r="B39" s="735"/>
      <c r="C39" s="736"/>
      <c r="D39" s="736"/>
      <c r="E39" s="757"/>
      <c r="F39" s="736"/>
      <c r="G39" s="740"/>
      <c r="H39" s="740"/>
      <c r="I39" s="740"/>
      <c r="J39" s="740"/>
      <c r="K39" s="740"/>
      <c r="L39" s="717" t="s">
        <v>963</v>
      </c>
      <c r="M39" s="1344">
        <v>12</v>
      </c>
      <c r="N39" s="1344" t="s">
        <v>88</v>
      </c>
      <c r="O39" s="1345">
        <v>1200000</v>
      </c>
      <c r="P39" s="1544">
        <f t="shared" ref="P39:P46" si="4">M39*O39</f>
        <v>14400000</v>
      </c>
      <c r="Q39" s="1344">
        <v>12</v>
      </c>
      <c r="R39" s="1344" t="s">
        <v>88</v>
      </c>
      <c r="S39" s="1345">
        <v>1200000</v>
      </c>
      <c r="T39" s="1551">
        <f t="shared" ref="T39:T46" si="5">Q39*S39</f>
        <v>14400000</v>
      </c>
      <c r="U39" s="527"/>
      <c r="V39" s="643">
        <f t="shared" ref="V39:V44" si="6">U39/P39*100</f>
        <v>0</v>
      </c>
    </row>
    <row r="40" spans="2:22" x14ac:dyDescent="0.25">
      <c r="B40" s="735"/>
      <c r="C40" s="736"/>
      <c r="D40" s="736"/>
      <c r="E40" s="1346"/>
      <c r="F40" s="736"/>
      <c r="G40" s="740"/>
      <c r="H40" s="740"/>
      <c r="I40" s="740"/>
      <c r="J40" s="740"/>
      <c r="K40" s="740"/>
      <c r="L40" s="717" t="s">
        <v>964</v>
      </c>
      <c r="M40" s="1344">
        <v>12</v>
      </c>
      <c r="N40" s="1344" t="s">
        <v>88</v>
      </c>
      <c r="O40" s="1345">
        <v>800000</v>
      </c>
      <c r="P40" s="1544">
        <f t="shared" si="4"/>
        <v>9600000</v>
      </c>
      <c r="Q40" s="1344">
        <v>12</v>
      </c>
      <c r="R40" s="1344" t="s">
        <v>88</v>
      </c>
      <c r="S40" s="1345">
        <v>800000</v>
      </c>
      <c r="T40" s="1551">
        <f t="shared" si="5"/>
        <v>9600000</v>
      </c>
      <c r="U40" s="527"/>
      <c r="V40" s="643">
        <f t="shared" si="6"/>
        <v>0</v>
      </c>
    </row>
    <row r="41" spans="2:22" x14ac:dyDescent="0.25">
      <c r="B41" s="735"/>
      <c r="C41" s="736"/>
      <c r="D41" s="736"/>
      <c r="E41" s="1346"/>
      <c r="F41" s="736"/>
      <c r="G41" s="740"/>
      <c r="H41" s="740"/>
      <c r="I41" s="740"/>
      <c r="J41" s="740"/>
      <c r="K41" s="740"/>
      <c r="L41" s="717" t="s">
        <v>965</v>
      </c>
      <c r="M41" s="1344">
        <v>24</v>
      </c>
      <c r="N41" s="1344" t="s">
        <v>88</v>
      </c>
      <c r="O41" s="1345">
        <v>500000</v>
      </c>
      <c r="P41" s="1544">
        <f t="shared" si="4"/>
        <v>12000000</v>
      </c>
      <c r="Q41" s="1344">
        <v>24</v>
      </c>
      <c r="R41" s="1344" t="s">
        <v>88</v>
      </c>
      <c r="S41" s="1345">
        <v>500000</v>
      </c>
      <c r="T41" s="1551">
        <f t="shared" si="5"/>
        <v>12000000</v>
      </c>
      <c r="U41" s="527"/>
      <c r="V41" s="643">
        <f t="shared" si="6"/>
        <v>0</v>
      </c>
    </row>
    <row r="42" spans="2:22" x14ac:dyDescent="0.25">
      <c r="B42" s="735"/>
      <c r="C42" s="736"/>
      <c r="D42" s="736"/>
      <c r="E42" s="1346"/>
      <c r="F42" s="736"/>
      <c r="G42" s="740"/>
      <c r="H42" s="740"/>
      <c r="I42" s="740"/>
      <c r="J42" s="740"/>
      <c r="K42" s="740"/>
      <c r="L42" s="717" t="s">
        <v>966</v>
      </c>
      <c r="M42" s="1344">
        <v>12</v>
      </c>
      <c r="N42" s="1344" t="s">
        <v>88</v>
      </c>
      <c r="O42" s="1345">
        <v>750000</v>
      </c>
      <c r="P42" s="1544">
        <f t="shared" si="4"/>
        <v>9000000</v>
      </c>
      <c r="Q42" s="1344">
        <v>12</v>
      </c>
      <c r="R42" s="1344" t="s">
        <v>88</v>
      </c>
      <c r="S42" s="1345">
        <v>750000</v>
      </c>
      <c r="T42" s="1551">
        <f t="shared" si="5"/>
        <v>9000000</v>
      </c>
      <c r="U42" s="527"/>
      <c r="V42" s="643">
        <f t="shared" si="6"/>
        <v>0</v>
      </c>
    </row>
    <row r="43" spans="2:22" x14ac:dyDescent="0.25">
      <c r="B43" s="735"/>
      <c r="C43" s="736"/>
      <c r="D43" s="736"/>
      <c r="E43" s="1346"/>
      <c r="F43" s="736"/>
      <c r="G43" s="740"/>
      <c r="H43" s="740"/>
      <c r="I43" s="740"/>
      <c r="J43" s="740"/>
      <c r="K43" s="740"/>
      <c r="L43" s="717" t="s">
        <v>967</v>
      </c>
      <c r="M43" s="1344">
        <v>24</v>
      </c>
      <c r="N43" s="1344" t="s">
        <v>88</v>
      </c>
      <c r="O43" s="1345">
        <v>375000</v>
      </c>
      <c r="P43" s="1544">
        <f t="shared" si="4"/>
        <v>9000000</v>
      </c>
      <c r="Q43" s="1344">
        <v>24</v>
      </c>
      <c r="R43" s="1344" t="s">
        <v>88</v>
      </c>
      <c r="S43" s="1345">
        <v>375000</v>
      </c>
      <c r="T43" s="1551">
        <f t="shared" si="5"/>
        <v>9000000</v>
      </c>
      <c r="U43" s="527">
        <f>SUM(T43)-P43</f>
        <v>0</v>
      </c>
      <c r="V43" s="643">
        <f t="shared" si="6"/>
        <v>0</v>
      </c>
    </row>
    <row r="44" spans="2:22" x14ac:dyDescent="0.25">
      <c r="B44" s="735"/>
      <c r="C44" s="736"/>
      <c r="D44" s="736"/>
      <c r="E44" s="1346"/>
      <c r="F44" s="736"/>
      <c r="G44" s="740"/>
      <c r="H44" s="740"/>
      <c r="I44" s="740"/>
      <c r="J44" s="740"/>
      <c r="K44" s="740"/>
      <c r="L44" s="717" t="s">
        <v>968</v>
      </c>
      <c r="M44" s="1344">
        <v>12</v>
      </c>
      <c r="N44" s="1344" t="s">
        <v>88</v>
      </c>
      <c r="O44" s="1345">
        <v>550000</v>
      </c>
      <c r="P44" s="1544">
        <f t="shared" si="4"/>
        <v>6600000</v>
      </c>
      <c r="Q44" s="1344">
        <v>12</v>
      </c>
      <c r="R44" s="1344" t="s">
        <v>88</v>
      </c>
      <c r="S44" s="1345">
        <v>550000</v>
      </c>
      <c r="T44" s="1551">
        <f t="shared" si="5"/>
        <v>6600000</v>
      </c>
      <c r="U44" s="527">
        <f>SUM(T44)-P44</f>
        <v>0</v>
      </c>
      <c r="V44" s="643">
        <f t="shared" si="6"/>
        <v>0</v>
      </c>
    </row>
    <row r="45" spans="2:22" x14ac:dyDescent="0.25">
      <c r="B45" s="735"/>
      <c r="C45" s="736"/>
      <c r="D45" s="736"/>
      <c r="E45" s="1346"/>
      <c r="F45" s="736"/>
      <c r="G45" s="740"/>
      <c r="H45" s="740"/>
      <c r="I45" s="740"/>
      <c r="J45" s="740"/>
      <c r="K45" s="740"/>
      <c r="L45" s="717" t="s">
        <v>969</v>
      </c>
      <c r="M45" s="1344">
        <v>12</v>
      </c>
      <c r="N45" s="1344" t="s">
        <v>88</v>
      </c>
      <c r="O45" s="1345">
        <v>325000</v>
      </c>
      <c r="P45" s="1544">
        <f t="shared" si="4"/>
        <v>3900000</v>
      </c>
      <c r="Q45" s="1344">
        <v>12</v>
      </c>
      <c r="R45" s="1344" t="s">
        <v>88</v>
      </c>
      <c r="S45" s="1345">
        <v>325000</v>
      </c>
      <c r="T45" s="1551">
        <f t="shared" si="5"/>
        <v>3900000</v>
      </c>
      <c r="U45" s="698"/>
      <c r="V45" s="697"/>
    </row>
    <row r="46" spans="2:22" x14ac:dyDescent="0.25">
      <c r="B46" s="735"/>
      <c r="C46" s="736"/>
      <c r="D46" s="736"/>
      <c r="E46" s="1346"/>
      <c r="F46" s="736"/>
      <c r="G46" s="740"/>
      <c r="H46" s="740"/>
      <c r="I46" s="740"/>
      <c r="J46" s="740"/>
      <c r="K46" s="740"/>
      <c r="L46" s="717" t="s">
        <v>970</v>
      </c>
      <c r="M46" s="1344">
        <v>12</v>
      </c>
      <c r="N46" s="1344" t="s">
        <v>88</v>
      </c>
      <c r="O46" s="1345">
        <v>550000</v>
      </c>
      <c r="P46" s="1544">
        <f t="shared" si="4"/>
        <v>6600000</v>
      </c>
      <c r="Q46" s="1344">
        <v>12</v>
      </c>
      <c r="R46" s="1344" t="s">
        <v>88</v>
      </c>
      <c r="S46" s="1345">
        <v>550000</v>
      </c>
      <c r="T46" s="1551">
        <f t="shared" si="5"/>
        <v>6600000</v>
      </c>
      <c r="U46" s="527">
        <f>SUM(T46)-P46</f>
        <v>0</v>
      </c>
      <c r="V46" s="643"/>
    </row>
    <row r="47" spans="2:22" x14ac:dyDescent="0.25">
      <c r="B47" s="735"/>
      <c r="C47" s="736"/>
      <c r="D47" s="736"/>
      <c r="E47" s="1346"/>
      <c r="F47" s="736"/>
      <c r="G47" s="740"/>
      <c r="H47" s="740"/>
      <c r="I47" s="740"/>
      <c r="J47" s="740"/>
      <c r="K47" s="740"/>
      <c r="L47" s="717" t="s">
        <v>1015</v>
      </c>
      <c r="M47" s="1344"/>
      <c r="N47" s="1344"/>
      <c r="O47" s="1345"/>
      <c r="P47" s="1544">
        <f t="shared" ref="P47" si="7">M47*O47</f>
        <v>0</v>
      </c>
      <c r="Q47" s="1344">
        <v>12</v>
      </c>
      <c r="R47" s="1344" t="s">
        <v>88</v>
      </c>
      <c r="S47" s="1345">
        <v>900000</v>
      </c>
      <c r="T47" s="1551">
        <f t="shared" ref="T47" si="8">Q47*S47</f>
        <v>10800000</v>
      </c>
      <c r="U47" s="527">
        <f>SUM(T47)-P47</f>
        <v>10800000</v>
      </c>
      <c r="V47" s="643"/>
    </row>
    <row r="48" spans="2:22" x14ac:dyDescent="0.25">
      <c r="B48" s="735"/>
      <c r="C48" s="736"/>
      <c r="D48" s="736"/>
      <c r="E48" s="741"/>
      <c r="F48" s="743"/>
      <c r="G48" s="740"/>
      <c r="H48" s="740"/>
      <c r="I48" s="740"/>
      <c r="J48" s="740"/>
      <c r="K48" s="736"/>
      <c r="L48" s="710"/>
      <c r="M48" s="768"/>
      <c r="N48" s="706"/>
      <c r="O48" s="707"/>
      <c r="P48" s="1542"/>
      <c r="Q48" s="768"/>
      <c r="R48" s="706"/>
      <c r="S48" s="707"/>
      <c r="T48" s="1549"/>
      <c r="U48" s="527">
        <f>SUM(T48)-P48</f>
        <v>0</v>
      </c>
      <c r="V48" s="643"/>
    </row>
    <row r="49" spans="2:22" x14ac:dyDescent="0.25">
      <c r="B49" s="735">
        <v>1</v>
      </c>
      <c r="C49" s="736" t="s">
        <v>239</v>
      </c>
      <c r="D49" s="736" t="s">
        <v>84</v>
      </c>
      <c r="E49" s="741" t="s">
        <v>84</v>
      </c>
      <c r="F49" s="743">
        <v>20</v>
      </c>
      <c r="G49" s="740">
        <v>5</v>
      </c>
      <c r="H49" s="740">
        <v>2</v>
      </c>
      <c r="I49" s="740">
        <v>1</v>
      </c>
      <c r="J49" s="736" t="s">
        <v>87</v>
      </c>
      <c r="K49" s="736" t="s">
        <v>87</v>
      </c>
      <c r="L49" s="1347" t="s">
        <v>173</v>
      </c>
      <c r="M49" s="498"/>
      <c r="N49" s="713"/>
      <c r="O49" s="714"/>
      <c r="P49" s="1541">
        <f>SUM(P50:P53)</f>
        <v>192000000</v>
      </c>
      <c r="Q49" s="498"/>
      <c r="R49" s="713"/>
      <c r="S49" s="714"/>
      <c r="T49" s="1548">
        <f>SUM(T50:T53)</f>
        <v>192000000</v>
      </c>
      <c r="U49" s="527">
        <f>SUM(T49)-P49</f>
        <v>0</v>
      </c>
      <c r="V49" s="643"/>
    </row>
    <row r="50" spans="2:22" x14ac:dyDescent="0.25">
      <c r="B50" s="735"/>
      <c r="C50" s="736"/>
      <c r="D50" s="736"/>
      <c r="E50" s="741"/>
      <c r="F50" s="743"/>
      <c r="G50" s="740"/>
      <c r="H50" s="740"/>
      <c r="I50" s="740"/>
      <c r="J50" s="736"/>
      <c r="K50" s="740"/>
      <c r="L50" s="1348" t="s">
        <v>421</v>
      </c>
      <c r="M50" s="498">
        <v>12</v>
      </c>
      <c r="N50" s="713" t="s">
        <v>88</v>
      </c>
      <c r="O50" s="1338">
        <v>2000000</v>
      </c>
      <c r="P50" s="1544">
        <f t="shared" ref="P50:P53" si="9">M50*O50</f>
        <v>24000000</v>
      </c>
      <c r="Q50" s="498">
        <v>12</v>
      </c>
      <c r="R50" s="713" t="s">
        <v>88</v>
      </c>
      <c r="S50" s="1338">
        <v>2000000</v>
      </c>
      <c r="T50" s="1551">
        <f t="shared" ref="T50:T53" si="10">Q50*S50</f>
        <v>24000000</v>
      </c>
      <c r="U50" s="527"/>
      <c r="V50" s="643"/>
    </row>
    <row r="51" spans="2:22" x14ac:dyDescent="0.25">
      <c r="B51" s="735"/>
      <c r="C51" s="736"/>
      <c r="D51" s="736"/>
      <c r="E51" s="741"/>
      <c r="F51" s="743"/>
      <c r="G51" s="740"/>
      <c r="H51" s="740"/>
      <c r="I51" s="740"/>
      <c r="J51" s="736"/>
      <c r="K51" s="740"/>
      <c r="L51" s="1348" t="s">
        <v>971</v>
      </c>
      <c r="M51" s="498">
        <v>24</v>
      </c>
      <c r="N51" s="713" t="s">
        <v>88</v>
      </c>
      <c r="O51" s="1338">
        <v>2000000</v>
      </c>
      <c r="P51" s="1544">
        <f t="shared" si="9"/>
        <v>48000000</v>
      </c>
      <c r="Q51" s="498">
        <v>24</v>
      </c>
      <c r="R51" s="713" t="s">
        <v>88</v>
      </c>
      <c r="S51" s="1338">
        <v>2000000</v>
      </c>
      <c r="T51" s="1551">
        <f t="shared" si="10"/>
        <v>48000000</v>
      </c>
      <c r="U51" s="527"/>
      <c r="V51" s="643"/>
    </row>
    <row r="52" spans="2:22" x14ac:dyDescent="0.25">
      <c r="B52" s="735"/>
      <c r="C52" s="736"/>
      <c r="D52" s="736"/>
      <c r="E52" s="741"/>
      <c r="F52" s="743"/>
      <c r="G52" s="740"/>
      <c r="H52" s="740"/>
      <c r="I52" s="740"/>
      <c r="J52" s="736"/>
      <c r="K52" s="740"/>
      <c r="L52" s="1348" t="s">
        <v>972</v>
      </c>
      <c r="M52" s="498">
        <v>36</v>
      </c>
      <c r="N52" s="713" t="s">
        <v>88</v>
      </c>
      <c r="O52" s="1338">
        <v>2000000</v>
      </c>
      <c r="P52" s="1544">
        <f t="shared" si="9"/>
        <v>72000000</v>
      </c>
      <c r="Q52" s="498">
        <v>36</v>
      </c>
      <c r="R52" s="713" t="s">
        <v>88</v>
      </c>
      <c r="S52" s="1338">
        <v>2000000</v>
      </c>
      <c r="T52" s="1551">
        <f t="shared" si="10"/>
        <v>72000000</v>
      </c>
      <c r="U52" s="698"/>
      <c r="V52" s="643"/>
    </row>
    <row r="53" spans="2:22" x14ac:dyDescent="0.25">
      <c r="B53" s="735"/>
      <c r="C53" s="736"/>
      <c r="D53" s="736"/>
      <c r="E53" s="741"/>
      <c r="F53" s="743"/>
      <c r="G53" s="740"/>
      <c r="H53" s="740"/>
      <c r="I53" s="740"/>
      <c r="J53" s="736"/>
      <c r="K53" s="740"/>
      <c r="L53" s="1348" t="s">
        <v>432</v>
      </c>
      <c r="M53" s="498">
        <v>24</v>
      </c>
      <c r="N53" s="713" t="s">
        <v>88</v>
      </c>
      <c r="O53" s="1338">
        <v>2000000</v>
      </c>
      <c r="P53" s="1544">
        <f t="shared" si="9"/>
        <v>48000000</v>
      </c>
      <c r="Q53" s="498">
        <v>24</v>
      </c>
      <c r="R53" s="713" t="s">
        <v>88</v>
      </c>
      <c r="S53" s="1338">
        <v>2000000</v>
      </c>
      <c r="T53" s="1551">
        <f t="shared" si="10"/>
        <v>48000000</v>
      </c>
      <c r="U53" s="527">
        <f>SUM(T53)-P53</f>
        <v>0</v>
      </c>
      <c r="V53" s="643"/>
    </row>
    <row r="54" spans="2:22" x14ac:dyDescent="0.25">
      <c r="B54" s="735"/>
      <c r="C54" s="736"/>
      <c r="D54" s="736"/>
      <c r="E54" s="741"/>
      <c r="F54" s="743"/>
      <c r="G54" s="740"/>
      <c r="H54" s="740"/>
      <c r="I54" s="740"/>
      <c r="J54" s="736"/>
      <c r="K54" s="740"/>
      <c r="L54" s="1349"/>
      <c r="M54" s="498"/>
      <c r="N54" s="1350"/>
      <c r="O54" s="1351"/>
      <c r="P54" s="1545"/>
      <c r="Q54" s="498"/>
      <c r="R54" s="1350"/>
      <c r="S54" s="1351"/>
      <c r="T54" s="1552"/>
      <c r="U54" s="527"/>
      <c r="V54" s="643"/>
    </row>
    <row r="55" spans="2:22" x14ac:dyDescent="0.25">
      <c r="B55" s="735">
        <v>1</v>
      </c>
      <c r="C55" s="736" t="s">
        <v>239</v>
      </c>
      <c r="D55" s="736" t="s">
        <v>84</v>
      </c>
      <c r="E55" s="741" t="s">
        <v>84</v>
      </c>
      <c r="F55" s="743">
        <v>20</v>
      </c>
      <c r="G55" s="740">
        <v>5</v>
      </c>
      <c r="H55" s="740">
        <v>2</v>
      </c>
      <c r="I55" s="740">
        <v>2</v>
      </c>
      <c r="J55" s="740"/>
      <c r="K55" s="740"/>
      <c r="L55" s="712" t="s">
        <v>64</v>
      </c>
      <c r="M55" s="498"/>
      <c r="N55" s="1350"/>
      <c r="O55" s="1351"/>
      <c r="P55" s="1546">
        <f>P56</f>
        <v>608160000</v>
      </c>
      <c r="Q55" s="498"/>
      <c r="R55" s="1350"/>
      <c r="S55" s="1351"/>
      <c r="T55" s="1553">
        <f>T56</f>
        <v>608160000</v>
      </c>
      <c r="U55" s="527">
        <f>SUM(T55)-P55</f>
        <v>0</v>
      </c>
      <c r="V55" s="643"/>
    </row>
    <row r="56" spans="2:22" x14ac:dyDescent="0.25">
      <c r="B56" s="735">
        <v>1</v>
      </c>
      <c r="C56" s="736" t="s">
        <v>239</v>
      </c>
      <c r="D56" s="736" t="s">
        <v>84</v>
      </c>
      <c r="E56" s="741" t="s">
        <v>84</v>
      </c>
      <c r="F56" s="743">
        <v>20</v>
      </c>
      <c r="G56" s="740">
        <v>5</v>
      </c>
      <c r="H56" s="740">
        <v>2</v>
      </c>
      <c r="I56" s="740">
        <v>2</v>
      </c>
      <c r="J56" s="736" t="s">
        <v>97</v>
      </c>
      <c r="K56" s="740"/>
      <c r="L56" s="712" t="s">
        <v>57</v>
      </c>
      <c r="M56" s="498"/>
      <c r="N56" s="1350"/>
      <c r="O56" s="1351"/>
      <c r="P56" s="1546">
        <f>SUM(P57+P60)</f>
        <v>608160000</v>
      </c>
      <c r="Q56" s="498"/>
      <c r="R56" s="1350"/>
      <c r="S56" s="1351"/>
      <c r="T56" s="1553">
        <f>SUM(T57+T60)</f>
        <v>608160000</v>
      </c>
      <c r="U56" s="527">
        <f>SUM(T56)-P56</f>
        <v>0</v>
      </c>
      <c r="V56" s="643"/>
    </row>
    <row r="57" spans="2:22" x14ac:dyDescent="0.25">
      <c r="B57" s="735">
        <v>1</v>
      </c>
      <c r="C57" s="736" t="s">
        <v>239</v>
      </c>
      <c r="D57" s="736" t="s">
        <v>84</v>
      </c>
      <c r="E57" s="741" t="s">
        <v>84</v>
      </c>
      <c r="F57" s="743">
        <v>20</v>
      </c>
      <c r="G57" s="740">
        <v>5</v>
      </c>
      <c r="H57" s="740">
        <v>2</v>
      </c>
      <c r="I57" s="740">
        <v>2</v>
      </c>
      <c r="J57" s="736" t="s">
        <v>97</v>
      </c>
      <c r="K57" s="736" t="s">
        <v>101</v>
      </c>
      <c r="L57" s="1352" t="s">
        <v>265</v>
      </c>
      <c r="M57" s="498"/>
      <c r="N57" s="1350"/>
      <c r="O57" s="1351"/>
      <c r="P57" s="1545">
        <f>SUM(P58)</f>
        <v>2160000</v>
      </c>
      <c r="Q57" s="498"/>
      <c r="R57" s="1350"/>
      <c r="S57" s="1351"/>
      <c r="T57" s="1552">
        <f>SUM(T58)</f>
        <v>2160000</v>
      </c>
      <c r="U57" s="527">
        <f>SUM(T57)-P57</f>
        <v>0</v>
      </c>
      <c r="V57" s="643"/>
    </row>
    <row r="58" spans="2:22" x14ac:dyDescent="0.25">
      <c r="B58" s="1353"/>
      <c r="C58" s="1354"/>
      <c r="D58" s="1354"/>
      <c r="E58" s="1355"/>
      <c r="F58" s="1356"/>
      <c r="G58" s="1357"/>
      <c r="H58" s="1357"/>
      <c r="I58" s="1357"/>
      <c r="J58" s="1354"/>
      <c r="K58" s="1357"/>
      <c r="L58" s="1263" t="s">
        <v>266</v>
      </c>
      <c r="M58" s="498">
        <v>24</v>
      </c>
      <c r="N58" s="789" t="s">
        <v>431</v>
      </c>
      <c r="O58" s="1250">
        <v>90000</v>
      </c>
      <c r="P58" s="1544">
        <f t="shared" ref="P58" si="11">M58*O58</f>
        <v>2160000</v>
      </c>
      <c r="Q58" s="498">
        <v>24</v>
      </c>
      <c r="R58" s="789" t="s">
        <v>431</v>
      </c>
      <c r="S58" s="1250">
        <v>90000</v>
      </c>
      <c r="T58" s="1551">
        <f t="shared" ref="T58" si="12">Q58*S58</f>
        <v>2160000</v>
      </c>
      <c r="U58" s="756">
        <f>SUM(T58)-P58</f>
        <v>0</v>
      </c>
      <c r="V58" s="643"/>
    </row>
    <row r="59" spans="2:22" x14ac:dyDescent="0.25">
      <c r="B59" s="1358"/>
      <c r="C59" s="1359"/>
      <c r="D59" s="1359"/>
      <c r="E59" s="1360"/>
      <c r="F59" s="1361"/>
      <c r="G59" s="1362"/>
      <c r="H59" s="1362"/>
      <c r="I59" s="1362"/>
      <c r="J59" s="1359"/>
      <c r="K59" s="1362"/>
      <c r="L59" s="1348"/>
      <c r="M59" s="498"/>
      <c r="N59" s="713"/>
      <c r="O59" s="781"/>
      <c r="P59" s="1547"/>
      <c r="Q59" s="498"/>
      <c r="R59" s="713"/>
      <c r="S59" s="781"/>
      <c r="T59" s="718"/>
      <c r="U59" s="527">
        <f>SUM(T59)-P59</f>
        <v>0</v>
      </c>
      <c r="V59" s="643"/>
    </row>
    <row r="60" spans="2:22" x14ac:dyDescent="0.25">
      <c r="B60" s="735">
        <v>1</v>
      </c>
      <c r="C60" s="736" t="s">
        <v>239</v>
      </c>
      <c r="D60" s="736" t="s">
        <v>84</v>
      </c>
      <c r="E60" s="741" t="s">
        <v>84</v>
      </c>
      <c r="F60" s="743">
        <v>20</v>
      </c>
      <c r="G60" s="740">
        <v>5</v>
      </c>
      <c r="H60" s="740">
        <v>2</v>
      </c>
      <c r="I60" s="740">
        <v>2</v>
      </c>
      <c r="J60" s="736" t="s">
        <v>97</v>
      </c>
      <c r="K60" s="736">
        <v>27</v>
      </c>
      <c r="L60" s="1352" t="s">
        <v>233</v>
      </c>
      <c r="M60" s="498"/>
      <c r="N60" s="1350"/>
      <c r="O60" s="1351"/>
      <c r="P60" s="1545">
        <f>SUM(P61:P67)</f>
        <v>606000000</v>
      </c>
      <c r="Q60" s="498"/>
      <c r="R60" s="1350"/>
      <c r="S60" s="1351"/>
      <c r="T60" s="1552">
        <f>SUM(T61:T67)</f>
        <v>606000000</v>
      </c>
      <c r="U60" s="760"/>
      <c r="V60" s="761"/>
    </row>
    <row r="61" spans="2:22" x14ac:dyDescent="0.25">
      <c r="B61" s="1358"/>
      <c r="C61" s="1359"/>
      <c r="D61" s="1359"/>
      <c r="E61" s="1360"/>
      <c r="F61" s="1361"/>
      <c r="G61" s="1362"/>
      <c r="H61" s="1362"/>
      <c r="I61" s="1362"/>
      <c r="J61" s="1359"/>
      <c r="K61" s="1362"/>
      <c r="L61" s="1348" t="s">
        <v>973</v>
      </c>
      <c r="M61" s="498">
        <v>60</v>
      </c>
      <c r="N61" s="714" t="s">
        <v>52</v>
      </c>
      <c r="O61" s="781">
        <v>4500000</v>
      </c>
      <c r="P61" s="1544">
        <f t="shared" ref="P61:P66" si="13">M61*O61</f>
        <v>270000000</v>
      </c>
      <c r="Q61" s="498">
        <v>60</v>
      </c>
      <c r="R61" s="714" t="s">
        <v>52</v>
      </c>
      <c r="S61" s="781">
        <v>4500000</v>
      </c>
      <c r="T61" s="1551">
        <f t="shared" ref="T61:T66" si="14">Q61*S61</f>
        <v>270000000</v>
      </c>
      <c r="U61" s="527">
        <f>SUM(T61)-P61</f>
        <v>0</v>
      </c>
      <c r="V61" s="643"/>
    </row>
    <row r="62" spans="2:22" x14ac:dyDescent="0.25">
      <c r="B62" s="1358"/>
      <c r="C62" s="1359"/>
      <c r="D62" s="1359"/>
      <c r="E62" s="1360"/>
      <c r="F62" s="1361"/>
      <c r="G62" s="740"/>
      <c r="H62" s="1362"/>
      <c r="I62" s="1362"/>
      <c r="J62" s="1359"/>
      <c r="K62" s="1362"/>
      <c r="L62" s="1348" t="s">
        <v>974</v>
      </c>
      <c r="M62" s="498">
        <v>12</v>
      </c>
      <c r="N62" s="714" t="s">
        <v>52</v>
      </c>
      <c r="O62" s="781">
        <v>6500000</v>
      </c>
      <c r="P62" s="1544">
        <f t="shared" si="13"/>
        <v>78000000</v>
      </c>
      <c r="Q62" s="498">
        <v>12</v>
      </c>
      <c r="R62" s="714" t="s">
        <v>52</v>
      </c>
      <c r="S62" s="781">
        <v>6500000</v>
      </c>
      <c r="T62" s="1551">
        <f t="shared" si="14"/>
        <v>78000000</v>
      </c>
      <c r="U62" s="527"/>
      <c r="V62" s="643"/>
    </row>
    <row r="63" spans="2:22" x14ac:dyDescent="0.25">
      <c r="B63" s="735"/>
      <c r="C63" s="736"/>
      <c r="D63" s="736"/>
      <c r="E63" s="741"/>
      <c r="F63" s="743"/>
      <c r="G63" s="742"/>
      <c r="H63" s="740"/>
      <c r="I63" s="740"/>
      <c r="J63" s="736"/>
      <c r="K63" s="740"/>
      <c r="L63" s="1348" t="s">
        <v>975</v>
      </c>
      <c r="M63" s="498">
        <v>24</v>
      </c>
      <c r="N63" s="714" t="s">
        <v>52</v>
      </c>
      <c r="O63" s="781">
        <v>4500000</v>
      </c>
      <c r="P63" s="1544">
        <f t="shared" si="13"/>
        <v>108000000</v>
      </c>
      <c r="Q63" s="498">
        <v>24</v>
      </c>
      <c r="R63" s="714" t="s">
        <v>52</v>
      </c>
      <c r="S63" s="781">
        <v>4500000</v>
      </c>
      <c r="T63" s="1551">
        <f t="shared" si="14"/>
        <v>108000000</v>
      </c>
      <c r="U63" s="527"/>
      <c r="V63" s="643"/>
    </row>
    <row r="64" spans="2:22" x14ac:dyDescent="0.25">
      <c r="B64" s="735"/>
      <c r="C64" s="736"/>
      <c r="D64" s="736"/>
      <c r="E64" s="741"/>
      <c r="F64" s="743"/>
      <c r="G64" s="742"/>
      <c r="H64" s="740"/>
      <c r="I64" s="740"/>
      <c r="J64" s="736"/>
      <c r="K64" s="740"/>
      <c r="L64" s="1348" t="s">
        <v>976</v>
      </c>
      <c r="M64" s="498">
        <v>12</v>
      </c>
      <c r="N64" s="713" t="s">
        <v>52</v>
      </c>
      <c r="O64" s="1338">
        <v>2500000</v>
      </c>
      <c r="P64" s="1544">
        <f t="shared" si="13"/>
        <v>30000000</v>
      </c>
      <c r="Q64" s="498">
        <v>12</v>
      </c>
      <c r="R64" s="713" t="s">
        <v>52</v>
      </c>
      <c r="S64" s="1338">
        <v>2500000</v>
      </c>
      <c r="T64" s="1551">
        <f t="shared" si="14"/>
        <v>30000000</v>
      </c>
      <c r="U64" s="644"/>
      <c r="V64" s="1363"/>
    </row>
    <row r="65" spans="2:23" x14ac:dyDescent="0.25">
      <c r="B65" s="735"/>
      <c r="C65" s="736"/>
      <c r="D65" s="736"/>
      <c r="E65" s="741"/>
      <c r="F65" s="743"/>
      <c r="G65" s="742"/>
      <c r="H65" s="740"/>
      <c r="I65" s="740"/>
      <c r="J65" s="736"/>
      <c r="K65" s="740"/>
      <c r="L65" s="1348" t="s">
        <v>977</v>
      </c>
      <c r="M65" s="498">
        <v>12</v>
      </c>
      <c r="N65" s="713" t="s">
        <v>52</v>
      </c>
      <c r="O65" s="1338">
        <v>2500000</v>
      </c>
      <c r="P65" s="1544">
        <f t="shared" si="13"/>
        <v>30000000</v>
      </c>
      <c r="Q65" s="498">
        <v>12</v>
      </c>
      <c r="R65" s="713" t="s">
        <v>52</v>
      </c>
      <c r="S65" s="1338">
        <v>2500000</v>
      </c>
      <c r="T65" s="1551">
        <f t="shared" si="14"/>
        <v>30000000</v>
      </c>
      <c r="U65" s="644"/>
      <c r="V65" s="1363"/>
    </row>
    <row r="66" spans="2:23" x14ac:dyDescent="0.25">
      <c r="B66" s="735"/>
      <c r="C66" s="736"/>
      <c r="D66" s="736"/>
      <c r="E66" s="741"/>
      <c r="F66" s="743"/>
      <c r="G66" s="736"/>
      <c r="H66" s="740"/>
      <c r="I66" s="740"/>
      <c r="J66" s="736"/>
      <c r="K66" s="740"/>
      <c r="L66" s="1348" t="s">
        <v>978</v>
      </c>
      <c r="M66" s="498">
        <v>24</v>
      </c>
      <c r="N66" s="713" t="s">
        <v>52</v>
      </c>
      <c r="O66" s="1338">
        <v>2500000</v>
      </c>
      <c r="P66" s="1544">
        <f t="shared" si="13"/>
        <v>60000000</v>
      </c>
      <c r="Q66" s="498">
        <v>24</v>
      </c>
      <c r="R66" s="713" t="s">
        <v>52</v>
      </c>
      <c r="S66" s="1338">
        <v>2500000</v>
      </c>
      <c r="T66" s="1551">
        <f t="shared" si="14"/>
        <v>60000000</v>
      </c>
      <c r="U66" s="644"/>
      <c r="V66" s="1363"/>
    </row>
    <row r="67" spans="2:23" x14ac:dyDescent="0.25">
      <c r="B67" s="735"/>
      <c r="C67" s="736"/>
      <c r="D67" s="736"/>
      <c r="E67" s="741"/>
      <c r="F67" s="743"/>
      <c r="G67" s="736"/>
      <c r="H67" s="740"/>
      <c r="I67" s="740"/>
      <c r="J67" s="736"/>
      <c r="K67" s="740"/>
      <c r="L67" s="1348" t="s">
        <v>979</v>
      </c>
      <c r="M67" s="498">
        <v>12</v>
      </c>
      <c r="N67" s="713" t="s">
        <v>52</v>
      </c>
      <c r="O67" s="1338">
        <v>2500000</v>
      </c>
      <c r="P67" s="1544">
        <f>M67*O67</f>
        <v>30000000</v>
      </c>
      <c r="Q67" s="498">
        <v>12</v>
      </c>
      <c r="R67" s="713" t="s">
        <v>52</v>
      </c>
      <c r="S67" s="1338">
        <v>2500000</v>
      </c>
      <c r="T67" s="1551">
        <f>Q67*S67</f>
        <v>30000000</v>
      </c>
      <c r="U67" s="644"/>
      <c r="V67" s="1363"/>
    </row>
    <row r="68" spans="2:23" x14ac:dyDescent="0.25">
      <c r="B68" s="6"/>
      <c r="C68" s="6"/>
      <c r="D68" s="1364"/>
      <c r="E68" s="1365"/>
      <c r="F68" s="646"/>
      <c r="G68" s="116"/>
      <c r="H68" s="116"/>
      <c r="I68" s="6"/>
      <c r="J68" s="116"/>
      <c r="K68" s="116"/>
      <c r="L68" s="1366"/>
      <c r="M68" s="1367"/>
      <c r="N68" s="1368"/>
      <c r="O68" s="1369"/>
      <c r="P68" s="1370"/>
      <c r="Q68" s="1367"/>
      <c r="R68" s="1368"/>
      <c r="S68" s="1369"/>
      <c r="T68" s="1370"/>
      <c r="U68" s="644"/>
      <c r="V68" s="1363"/>
    </row>
    <row r="69" spans="2:23" ht="14.5" thickBot="1" x14ac:dyDescent="0.3">
      <c r="B69" s="2730" t="s">
        <v>15</v>
      </c>
      <c r="C69" s="2731"/>
      <c r="D69" s="2731"/>
      <c r="E69" s="2731"/>
      <c r="F69" s="2731"/>
      <c r="G69" s="2731"/>
      <c r="H69" s="2731"/>
      <c r="I69" s="2731"/>
      <c r="J69" s="2731"/>
      <c r="K69" s="2731"/>
      <c r="L69" s="2731"/>
      <c r="M69" s="2731"/>
      <c r="N69" s="2731"/>
      <c r="O69" s="2731"/>
      <c r="P69" s="436">
        <f>P28</f>
        <v>874860000</v>
      </c>
      <c r="Q69" s="2696"/>
      <c r="R69" s="2697"/>
      <c r="S69" s="2698"/>
      <c r="T69" s="934">
        <f>T28</f>
        <v>885660000</v>
      </c>
      <c r="U69" s="438">
        <f>U28</f>
        <v>10800000</v>
      </c>
      <c r="V69" s="957">
        <f>U69/P69*100</f>
        <v>1.2344832316027707</v>
      </c>
    </row>
    <row r="70" spans="2:23" ht="13" thickTop="1" x14ac:dyDescent="0.25">
      <c r="B70" s="2699"/>
      <c r="C70" s="2700"/>
      <c r="D70" s="2700"/>
      <c r="E70" s="2700"/>
      <c r="F70" s="2700"/>
      <c r="G70" s="2700"/>
      <c r="H70" s="2700"/>
      <c r="I70" s="2700"/>
      <c r="J70" s="2700"/>
      <c r="K70" s="2700"/>
      <c r="L70" s="2700"/>
      <c r="M70" s="2700"/>
      <c r="N70" s="2700"/>
      <c r="O70" s="2700"/>
      <c r="P70" s="2700"/>
      <c r="Q70" s="2700"/>
      <c r="R70" s="2700"/>
      <c r="S70" s="2700"/>
      <c r="T70" s="2700"/>
      <c r="U70" s="2700"/>
      <c r="V70" s="2701"/>
    </row>
    <row r="71" spans="2:23" ht="12.75" customHeight="1" x14ac:dyDescent="0.25">
      <c r="B71" s="440"/>
      <c r="C71" s="20"/>
      <c r="D71" s="20"/>
      <c r="E71" s="20"/>
      <c r="F71" s="20"/>
      <c r="G71" s="20"/>
      <c r="H71" s="20"/>
      <c r="I71" s="20"/>
      <c r="J71" s="20"/>
      <c r="K71" s="20"/>
      <c r="L71" s="21"/>
      <c r="Q71" s="342"/>
      <c r="S71" s="2702" t="str">
        <f>'Rapat Luar Daerah'!S39:U39</f>
        <v>Banda Aceh,               2020</v>
      </c>
      <c r="T71" s="2702"/>
      <c r="U71" s="2702"/>
      <c r="V71" s="19"/>
      <c r="W71" s="100"/>
    </row>
    <row r="72" spans="2:23" x14ac:dyDescent="0.25">
      <c r="B72" s="440"/>
      <c r="C72" s="20"/>
      <c r="D72" s="20"/>
      <c r="E72" s="20"/>
      <c r="F72" s="20"/>
      <c r="G72" s="20"/>
      <c r="H72" s="20"/>
      <c r="I72" s="20"/>
      <c r="J72" s="20"/>
      <c r="K72" s="20"/>
      <c r="L72" s="790" t="str">
        <f>'Rapat Luar Daerah'!L40</f>
        <v>Mengesahkan,</v>
      </c>
      <c r="Q72" s="342"/>
      <c r="S72" s="2703" t="str">
        <f>'Rapat Luar Daerah'!S40:U40</f>
        <v>Pengguna Anggaran</v>
      </c>
      <c r="T72" s="2703"/>
      <c r="U72" s="2703"/>
      <c r="V72" s="44"/>
      <c r="W72" s="22"/>
    </row>
    <row r="73" spans="2:23" ht="12.75" customHeight="1" x14ac:dyDescent="0.25">
      <c r="B73" s="440"/>
      <c r="C73" s="20"/>
      <c r="D73" s="20"/>
      <c r="E73" s="20"/>
      <c r="F73" s="20"/>
      <c r="G73" s="20"/>
      <c r="H73" s="20"/>
      <c r="I73" s="20"/>
      <c r="J73" s="20"/>
      <c r="K73" s="20"/>
      <c r="L73" s="790" t="str">
        <f>'Rapat Luar Daerah'!L41</f>
        <v>Pejabat Pengelola Keuangan Daerah</v>
      </c>
      <c r="Q73" s="342"/>
      <c r="S73" s="2703" t="str">
        <f>'Rapat Luar Daerah'!S41:U41</f>
        <v xml:space="preserve"> Satuan Kerja Perangkat Daerah </v>
      </c>
      <c r="T73" s="2703"/>
      <c r="U73" s="2703"/>
      <c r="V73" s="44"/>
      <c r="W73" s="22"/>
    </row>
    <row r="74" spans="2:23" x14ac:dyDescent="0.25">
      <c r="B74" s="440"/>
      <c r="C74" s="20"/>
      <c r="D74" s="20"/>
      <c r="E74" s="20"/>
      <c r="F74" s="20"/>
      <c r="G74" s="20"/>
      <c r="H74" s="20"/>
      <c r="I74" s="20"/>
      <c r="J74" s="20"/>
      <c r="K74" s="20"/>
      <c r="L74" s="42"/>
      <c r="Q74" s="342"/>
      <c r="S74" s="113"/>
      <c r="T74" s="101"/>
      <c r="U74" s="101"/>
      <c r="V74" s="111"/>
      <c r="W74" s="102"/>
    </row>
    <row r="75" spans="2:23" x14ac:dyDescent="0.25">
      <c r="B75" s="440"/>
      <c r="C75" s="20"/>
      <c r="D75" s="20"/>
      <c r="E75" s="20"/>
      <c r="F75" s="20"/>
      <c r="G75" s="20"/>
      <c r="H75" s="20"/>
      <c r="I75" s="20"/>
      <c r="J75" s="20"/>
      <c r="K75" s="20"/>
      <c r="L75" s="42"/>
      <c r="Q75" s="342"/>
      <c r="S75" s="113"/>
      <c r="T75" s="113"/>
      <c r="U75" s="113"/>
      <c r="V75" s="114"/>
      <c r="W75" s="103"/>
    </row>
    <row r="76" spans="2:23" x14ac:dyDescent="0.25">
      <c r="B76" s="440"/>
      <c r="C76" s="20"/>
      <c r="D76" s="20"/>
      <c r="E76" s="20"/>
      <c r="F76" s="20"/>
      <c r="G76" s="20"/>
      <c r="H76" s="20"/>
      <c r="I76" s="20"/>
      <c r="J76" s="20"/>
      <c r="K76" s="20"/>
      <c r="L76" s="99"/>
      <c r="Q76" s="342"/>
      <c r="S76" s="113"/>
      <c r="T76" s="101"/>
      <c r="U76" s="101"/>
      <c r="V76" s="111"/>
      <c r="W76" s="102"/>
    </row>
    <row r="77" spans="2:23" ht="14" x14ac:dyDescent="0.3">
      <c r="B77" s="440"/>
      <c r="C77" s="20"/>
      <c r="D77" s="20"/>
      <c r="E77" s="20"/>
      <c r="F77" s="20"/>
      <c r="G77" s="20"/>
      <c r="H77" s="20"/>
      <c r="I77" s="20"/>
      <c r="J77" s="20"/>
      <c r="K77" s="20"/>
      <c r="L77" s="112" t="str">
        <f>'Rapat Luar Daerah'!L45</f>
        <v>M. Iqbal Rokan, S.STP.</v>
      </c>
      <c r="Q77" s="342"/>
      <c r="S77" s="2704" t="str">
        <f>'Rapat Luar Daerah'!S45:U45</f>
        <v>Bustami, SH</v>
      </c>
      <c r="T77" s="2704"/>
      <c r="U77" s="2704"/>
      <c r="V77" s="45"/>
      <c r="W77" s="104"/>
    </row>
    <row r="78" spans="2:23" x14ac:dyDescent="0.25">
      <c r="B78" s="440"/>
      <c r="C78" s="20"/>
      <c r="D78" s="20"/>
      <c r="E78" s="20"/>
      <c r="F78" s="20"/>
      <c r="G78" s="20"/>
      <c r="H78" s="20"/>
      <c r="I78" s="20"/>
      <c r="J78" s="20"/>
      <c r="K78" s="20"/>
      <c r="L78" s="790" t="str">
        <f>'Rapat Luar Daerah'!L46</f>
        <v>Nip. 19780505 199810 1 001</v>
      </c>
      <c r="Q78" s="342"/>
      <c r="S78" s="2703" t="str">
        <f>'Rapat Luar Daerah'!S46:U46</f>
        <v>Pembina Utama Muda / Nip. 196308241987031004</v>
      </c>
      <c r="T78" s="2703"/>
      <c r="U78" s="2703"/>
      <c r="V78" s="44"/>
      <c r="W78" s="22"/>
    </row>
    <row r="79" spans="2:23" x14ac:dyDescent="0.25">
      <c r="B79" s="440"/>
      <c r="C79" s="20"/>
      <c r="D79" s="20"/>
      <c r="E79" s="20"/>
      <c r="F79" s="20"/>
      <c r="G79" s="20"/>
      <c r="H79" s="20"/>
      <c r="I79" s="20"/>
      <c r="J79" s="20"/>
      <c r="K79" s="20"/>
      <c r="L79" s="790"/>
      <c r="Q79" s="342"/>
      <c r="S79" s="790"/>
      <c r="T79" s="790"/>
      <c r="U79" s="790"/>
      <c r="V79" s="441"/>
      <c r="W79" s="21"/>
    </row>
    <row r="80" spans="2:23" ht="14.25" customHeight="1" x14ac:dyDescent="0.25">
      <c r="B80" s="2705" t="s">
        <v>286</v>
      </c>
      <c r="C80" s="2706"/>
      <c r="D80" s="2706"/>
      <c r="E80" s="2706"/>
      <c r="F80" s="2706"/>
      <c r="G80" s="2706"/>
      <c r="H80" s="2706"/>
      <c r="I80" s="2706"/>
      <c r="J80" s="2706"/>
      <c r="K80" s="2706"/>
      <c r="L80" s="2706"/>
      <c r="M80" s="2707" t="s">
        <v>145</v>
      </c>
      <c r="N80" s="2708"/>
      <c r="O80" s="2708"/>
      <c r="P80" s="2708"/>
      <c r="Q80" s="2708"/>
      <c r="R80" s="2708"/>
      <c r="S80" s="2708"/>
      <c r="T80" s="2708"/>
      <c r="U80" s="2708"/>
      <c r="V80" s="2709"/>
    </row>
    <row r="81" spans="2:22" ht="14.25" customHeight="1" x14ac:dyDescent="0.3">
      <c r="B81" s="2710"/>
      <c r="C81" s="2711"/>
      <c r="D81" s="2711"/>
      <c r="E81" s="2711"/>
      <c r="F81" s="2711"/>
      <c r="G81" s="2711"/>
      <c r="H81" s="2711"/>
      <c r="I81" s="2711"/>
      <c r="J81" s="2711"/>
      <c r="K81" s="2711"/>
      <c r="L81" s="2712"/>
      <c r="M81" s="791" t="s">
        <v>142</v>
      </c>
      <c r="N81" s="2713"/>
      <c r="O81" s="2713"/>
      <c r="P81" s="2713"/>
      <c r="Q81" s="2714" t="s">
        <v>143</v>
      </c>
      <c r="R81" s="2714"/>
      <c r="S81" s="2714"/>
      <c r="T81" s="792" t="s">
        <v>144</v>
      </c>
      <c r="U81" s="2714" t="s">
        <v>146</v>
      </c>
      <c r="V81" s="2715"/>
    </row>
    <row r="82" spans="2:22" ht="14.25" customHeight="1" x14ac:dyDescent="0.3">
      <c r="B82" s="2716" t="s">
        <v>293</v>
      </c>
      <c r="C82" s="2717"/>
      <c r="D82" s="2717"/>
      <c r="E82" s="2717"/>
      <c r="F82" s="2717"/>
      <c r="G82" s="2717"/>
      <c r="H82" s="2717"/>
      <c r="I82" s="2717"/>
      <c r="J82" s="2717"/>
      <c r="K82" s="2717"/>
      <c r="L82" s="107">
        <v>0</v>
      </c>
      <c r="M82" s="118">
        <v>1</v>
      </c>
      <c r="N82" s="2718" t="str">
        <f>'Rapat Luar Daerah'!N50:P50</f>
        <v>Weri, SE. MA</v>
      </c>
      <c r="O82" s="2719"/>
      <c r="P82" s="2719"/>
      <c r="Q82" s="2720" t="str">
        <f>'Rapat Luar Daerah'!Q50:S50</f>
        <v>19640525 198903 1 026</v>
      </c>
      <c r="R82" s="2721"/>
      <c r="S82" s="2722"/>
      <c r="T82" s="109" t="s">
        <v>302</v>
      </c>
      <c r="U82" s="442" t="s">
        <v>287</v>
      </c>
      <c r="V82" s="443"/>
    </row>
    <row r="83" spans="2:22" ht="14" x14ac:dyDescent="0.3">
      <c r="B83" s="2716" t="s">
        <v>294</v>
      </c>
      <c r="C83" s="2717"/>
      <c r="D83" s="2717"/>
      <c r="E83" s="2717"/>
      <c r="F83" s="2717"/>
      <c r="G83" s="2717"/>
      <c r="H83" s="2717"/>
      <c r="I83" s="2717"/>
      <c r="J83" s="2717"/>
      <c r="K83" s="2717"/>
      <c r="L83" s="107">
        <v>0</v>
      </c>
      <c r="M83" s="118">
        <v>2</v>
      </c>
      <c r="N83" s="2723" t="str">
        <f>'Rapat Luar Daerah'!N51:P51</f>
        <v>Azmi, SH</v>
      </c>
      <c r="O83" s="2724"/>
      <c r="P83" s="2724"/>
      <c r="Q83" s="2720" t="str">
        <f>'Rapat Luar Daerah'!Q51:S51</f>
        <v>19680824 199903 1 004</v>
      </c>
      <c r="R83" s="2721"/>
      <c r="S83" s="2722"/>
      <c r="T83" s="109" t="s">
        <v>303</v>
      </c>
      <c r="U83" s="444"/>
      <c r="V83" s="445" t="s">
        <v>128</v>
      </c>
    </row>
    <row r="84" spans="2:22" ht="14" x14ac:dyDescent="0.3">
      <c r="B84" s="2716" t="s">
        <v>295</v>
      </c>
      <c r="C84" s="2717"/>
      <c r="D84" s="2717"/>
      <c r="E84" s="2717"/>
      <c r="F84" s="2717"/>
      <c r="G84" s="2717"/>
      <c r="H84" s="2717"/>
      <c r="I84" s="2717"/>
      <c r="J84" s="2717"/>
      <c r="K84" s="2717"/>
      <c r="L84" s="107">
        <v>0</v>
      </c>
      <c r="M84" s="1371">
        <v>3</v>
      </c>
      <c r="N84" s="2723" t="str">
        <f>'Rapat Luar Daerah'!N52:P52</f>
        <v>Muhammad Syaifuddin Ambia, ST, MT</v>
      </c>
      <c r="O84" s="2724"/>
      <c r="P84" s="2724"/>
      <c r="Q84" s="2720" t="str">
        <f>'Rapat Luar Daerah'!Q52:S52</f>
        <v>19741010 200604 1 003</v>
      </c>
      <c r="R84" s="2721"/>
      <c r="S84" s="2722"/>
      <c r="T84" s="109" t="s">
        <v>304</v>
      </c>
      <c r="U84" s="446" t="s">
        <v>292</v>
      </c>
      <c r="V84" s="443"/>
    </row>
    <row r="85" spans="2:22" ht="15" customHeight="1" x14ac:dyDescent="0.3">
      <c r="B85" s="2716" t="s">
        <v>296</v>
      </c>
      <c r="C85" s="2717"/>
      <c r="D85" s="2717"/>
      <c r="E85" s="2717"/>
      <c r="F85" s="2717"/>
      <c r="G85" s="2717"/>
      <c r="H85" s="2717"/>
      <c r="I85" s="2717"/>
      <c r="J85" s="2717"/>
      <c r="K85" s="2717"/>
      <c r="L85" s="107">
        <v>0</v>
      </c>
      <c r="M85" s="118">
        <v>4</v>
      </c>
      <c r="N85" s="2723" t="str">
        <f>'Rapat Luar Daerah'!N53:P53</f>
        <v>Basri, SE, M.Si</v>
      </c>
      <c r="O85" s="2724"/>
      <c r="P85" s="2724"/>
      <c r="Q85" s="2720" t="str">
        <f>'Rapat Luar Daerah'!Q53:S53</f>
        <v>19691213 199403 1 002</v>
      </c>
      <c r="R85" s="2721"/>
      <c r="S85" s="2722"/>
      <c r="T85" s="109" t="s">
        <v>305</v>
      </c>
      <c r="U85" s="444"/>
      <c r="V85" s="445" t="s">
        <v>288</v>
      </c>
    </row>
    <row r="86" spans="2:22" ht="14" x14ac:dyDescent="0.3">
      <c r="B86" s="2716" t="s">
        <v>297</v>
      </c>
      <c r="C86" s="2717"/>
      <c r="D86" s="2717"/>
      <c r="E86" s="2717"/>
      <c r="F86" s="2717"/>
      <c r="G86" s="2717"/>
      <c r="H86" s="2717"/>
      <c r="I86" s="2717"/>
      <c r="J86" s="2717"/>
      <c r="K86" s="2717"/>
      <c r="L86" s="108">
        <f>SUM(L82:L85)</f>
        <v>0</v>
      </c>
      <c r="M86" s="105">
        <v>5</v>
      </c>
      <c r="N86" s="2723" t="str">
        <f>'Rapat Luar Daerah'!N54:P54</f>
        <v>Dewi Shinta Reza, SE. Ak</v>
      </c>
      <c r="O86" s="2724"/>
      <c r="P86" s="2724"/>
      <c r="Q86" s="2720" t="str">
        <f>'Rapat Luar Daerah'!Q54:S54</f>
        <v>19750630 200212 2 003</v>
      </c>
      <c r="R86" s="2721"/>
      <c r="S86" s="2722"/>
      <c r="T86" s="109" t="s">
        <v>306</v>
      </c>
      <c r="U86" s="446" t="s">
        <v>289</v>
      </c>
      <c r="V86" s="443"/>
    </row>
    <row r="87" spans="2:22" ht="13.5" customHeight="1" x14ac:dyDescent="0.3">
      <c r="B87" s="2710"/>
      <c r="C87" s="2711"/>
      <c r="D87" s="2711"/>
      <c r="E87" s="2711"/>
      <c r="F87" s="2711"/>
      <c r="G87" s="2711"/>
      <c r="H87" s="2711"/>
      <c r="I87" s="2711"/>
      <c r="J87" s="2711"/>
      <c r="K87" s="2711"/>
      <c r="L87" s="2712"/>
      <c r="M87" s="105">
        <v>6</v>
      </c>
      <c r="N87" s="2718" t="str">
        <f>'Rapat Luar Daerah'!N55:P55</f>
        <v>Harisman, S.STP, M.Ec.Dev</v>
      </c>
      <c r="O87" s="2719"/>
      <c r="P87" s="2719"/>
      <c r="Q87" s="2720" t="str">
        <f>'Rapat Luar Daerah'!Q55:S55</f>
        <v>19830101 200112 1 003</v>
      </c>
      <c r="R87" s="2721"/>
      <c r="S87" s="2722"/>
      <c r="T87" s="109" t="s">
        <v>307</v>
      </c>
      <c r="U87" s="444"/>
      <c r="V87" s="445" t="s">
        <v>290</v>
      </c>
    </row>
    <row r="88" spans="2:22" ht="14.5" thickBot="1" x14ac:dyDescent="0.35">
      <c r="B88" s="2725"/>
      <c r="C88" s="2726"/>
      <c r="D88" s="2726"/>
      <c r="E88" s="2726"/>
      <c r="F88" s="2726"/>
      <c r="G88" s="2726"/>
      <c r="H88" s="2726"/>
      <c r="I88" s="2726"/>
      <c r="J88" s="2726"/>
      <c r="K88" s="2726"/>
      <c r="L88" s="2727"/>
      <c r="M88" s="106">
        <v>7</v>
      </c>
      <c r="N88" s="2728" t="str">
        <f>'Rapat Luar Daerah'!N56:P56</f>
        <v>Alriandi, S.STP, M.Si</v>
      </c>
      <c r="O88" s="2729"/>
      <c r="P88" s="2729"/>
      <c r="Q88" s="2733" t="str">
        <f>'Rapat Luar Daerah'!Q56:S56</f>
        <v>19830308 200112 1 001</v>
      </c>
      <c r="R88" s="2734"/>
      <c r="S88" s="2735"/>
      <c r="T88" s="110" t="s">
        <v>308</v>
      </c>
      <c r="U88" s="447" t="s">
        <v>291</v>
      </c>
      <c r="V88" s="448"/>
    </row>
    <row r="89" spans="2:22" ht="13" thickTop="1" x14ac:dyDescent="0.25">
      <c r="B89" s="342"/>
      <c r="C89" s="342"/>
      <c r="D89" s="342"/>
      <c r="E89" s="342"/>
      <c r="F89" s="342"/>
      <c r="G89" s="342"/>
      <c r="H89" s="342"/>
      <c r="I89" s="342"/>
      <c r="J89" s="342"/>
      <c r="K89" s="342"/>
      <c r="L89" s="342"/>
      <c r="M89" s="342"/>
      <c r="N89" s="342"/>
      <c r="O89" s="342"/>
      <c r="P89" s="342"/>
    </row>
    <row r="90" spans="2:22" x14ac:dyDescent="0.25">
      <c r="B90" s="342"/>
      <c r="C90" s="342"/>
      <c r="D90" s="342"/>
      <c r="E90" s="342"/>
      <c r="F90" s="342"/>
      <c r="G90" s="342"/>
      <c r="H90" s="342"/>
      <c r="I90" s="342"/>
      <c r="J90" s="342"/>
      <c r="K90" s="342"/>
      <c r="L90" s="342"/>
      <c r="M90" s="342"/>
      <c r="N90" s="342"/>
      <c r="O90" s="342"/>
      <c r="P90" s="342"/>
    </row>
    <row r="91" spans="2:22" x14ac:dyDescent="0.25">
      <c r="B91" s="342"/>
      <c r="C91" s="342"/>
      <c r="D91" s="342"/>
      <c r="E91" s="342"/>
      <c r="F91" s="342"/>
      <c r="G91" s="342"/>
      <c r="H91" s="342"/>
      <c r="I91" s="342"/>
      <c r="J91" s="342"/>
      <c r="K91" s="342"/>
      <c r="L91" s="342"/>
      <c r="M91" s="342"/>
      <c r="N91" s="342"/>
      <c r="O91" s="342"/>
      <c r="P91" s="342"/>
    </row>
    <row r="92" spans="2:22" x14ac:dyDescent="0.25">
      <c r="B92" s="342"/>
      <c r="C92" s="342"/>
      <c r="D92" s="342"/>
      <c r="E92" s="342"/>
      <c r="F92" s="342"/>
      <c r="G92" s="342"/>
      <c r="H92" s="342"/>
      <c r="I92" s="342"/>
      <c r="J92" s="342"/>
      <c r="K92" s="342"/>
      <c r="L92" s="342"/>
      <c r="M92" s="342"/>
      <c r="N92" s="342"/>
      <c r="O92" s="342"/>
      <c r="P92" s="342"/>
    </row>
    <row r="93" spans="2:22" x14ac:dyDescent="0.25">
      <c r="B93" s="342"/>
      <c r="C93" s="342"/>
      <c r="D93" s="342"/>
      <c r="E93" s="342"/>
      <c r="F93" s="342"/>
      <c r="G93" s="342"/>
      <c r="H93" s="342"/>
      <c r="I93" s="342"/>
      <c r="J93" s="342"/>
      <c r="K93" s="342"/>
      <c r="L93" s="342"/>
      <c r="M93" s="342"/>
      <c r="N93" s="342"/>
      <c r="O93" s="342"/>
      <c r="P93" s="342"/>
    </row>
    <row r="94" spans="2:22" x14ac:dyDescent="0.25">
      <c r="B94" s="342"/>
      <c r="C94" s="342"/>
      <c r="D94" s="342"/>
      <c r="E94" s="342"/>
      <c r="F94" s="342"/>
      <c r="G94" s="342"/>
      <c r="H94" s="342"/>
      <c r="I94" s="342"/>
      <c r="J94" s="342"/>
      <c r="K94" s="342"/>
      <c r="L94" s="342"/>
      <c r="M94" s="342"/>
      <c r="N94" s="342"/>
      <c r="O94" s="342"/>
      <c r="P94" s="342"/>
    </row>
    <row r="95" spans="2:22" x14ac:dyDescent="0.25">
      <c r="B95" s="342"/>
      <c r="C95" s="342"/>
      <c r="D95" s="342"/>
      <c r="E95" s="342"/>
      <c r="F95" s="342"/>
      <c r="G95" s="342"/>
      <c r="H95" s="342"/>
      <c r="I95" s="342"/>
      <c r="J95" s="342"/>
      <c r="K95" s="342"/>
      <c r="L95" s="342"/>
      <c r="M95" s="342"/>
      <c r="N95" s="342"/>
      <c r="O95" s="342"/>
      <c r="P95" s="342"/>
    </row>
    <row r="96" spans="2:22" x14ac:dyDescent="0.25">
      <c r="B96" s="342"/>
      <c r="C96" s="342"/>
      <c r="D96" s="342"/>
      <c r="E96" s="342"/>
      <c r="F96" s="342"/>
      <c r="G96" s="342"/>
      <c r="H96" s="342"/>
      <c r="I96" s="342"/>
      <c r="J96" s="342"/>
      <c r="K96" s="342"/>
      <c r="L96" s="342"/>
      <c r="M96" s="342"/>
      <c r="N96" s="342"/>
      <c r="O96" s="342"/>
      <c r="P96" s="342"/>
    </row>
    <row r="97" spans="2:16" x14ac:dyDescent="0.25">
      <c r="B97" s="342"/>
      <c r="C97" s="342"/>
      <c r="D97" s="342"/>
      <c r="E97" s="342"/>
      <c r="F97" s="342"/>
      <c r="G97" s="342"/>
      <c r="H97" s="342"/>
      <c r="I97" s="342"/>
      <c r="J97" s="342"/>
      <c r="K97" s="342"/>
      <c r="L97" s="342"/>
      <c r="M97" s="342"/>
      <c r="N97" s="342"/>
      <c r="O97" s="342"/>
      <c r="P97" s="342"/>
    </row>
    <row r="98" spans="2:16" x14ac:dyDescent="0.25">
      <c r="B98" s="342"/>
      <c r="C98" s="342"/>
      <c r="D98" s="342"/>
      <c r="E98" s="342"/>
      <c r="F98" s="342"/>
      <c r="G98" s="342"/>
      <c r="H98" s="342"/>
      <c r="I98" s="342"/>
      <c r="J98" s="342"/>
      <c r="K98" s="342"/>
      <c r="L98" s="342"/>
      <c r="M98" s="342"/>
      <c r="N98" s="342"/>
      <c r="O98" s="342"/>
      <c r="P98" s="342"/>
    </row>
    <row r="99" spans="2:16" x14ac:dyDescent="0.25">
      <c r="B99" s="342"/>
      <c r="C99" s="342"/>
      <c r="D99" s="342"/>
      <c r="E99" s="342"/>
      <c r="F99" s="342"/>
      <c r="G99" s="342"/>
      <c r="H99" s="342"/>
      <c r="I99" s="342"/>
      <c r="J99" s="342"/>
      <c r="K99" s="342"/>
      <c r="L99" s="342"/>
      <c r="M99" s="342"/>
      <c r="N99" s="342"/>
      <c r="O99" s="342"/>
      <c r="P99" s="342"/>
    </row>
    <row r="100" spans="2:16" x14ac:dyDescent="0.25">
      <c r="B100" s="342"/>
      <c r="C100" s="342"/>
      <c r="D100" s="342"/>
      <c r="E100" s="342"/>
      <c r="F100" s="342"/>
      <c r="G100" s="342"/>
      <c r="H100" s="342"/>
      <c r="I100" s="342"/>
      <c r="J100" s="342"/>
      <c r="K100" s="342"/>
      <c r="L100" s="342"/>
      <c r="M100" s="342"/>
      <c r="N100" s="342"/>
      <c r="O100" s="342"/>
      <c r="P100" s="342"/>
    </row>
    <row r="101" spans="2:16" x14ac:dyDescent="0.25">
      <c r="B101" s="342"/>
      <c r="C101" s="342"/>
      <c r="D101" s="342"/>
      <c r="E101" s="342"/>
      <c r="F101" s="342"/>
      <c r="G101" s="342"/>
      <c r="H101" s="342"/>
      <c r="I101" s="342"/>
      <c r="J101" s="342"/>
      <c r="K101" s="342"/>
      <c r="L101" s="342"/>
      <c r="M101" s="342"/>
      <c r="N101" s="342"/>
      <c r="O101" s="342"/>
      <c r="P101" s="342"/>
    </row>
    <row r="102" spans="2:16" x14ac:dyDescent="0.25">
      <c r="B102" s="342"/>
      <c r="C102" s="342"/>
      <c r="D102" s="342"/>
      <c r="E102" s="342"/>
      <c r="F102" s="342"/>
      <c r="G102" s="342"/>
      <c r="H102" s="342"/>
      <c r="I102" s="342"/>
      <c r="J102" s="342"/>
      <c r="K102" s="342"/>
      <c r="L102" s="342"/>
      <c r="M102" s="342"/>
      <c r="N102" s="342"/>
      <c r="O102" s="342"/>
      <c r="P102" s="342"/>
    </row>
    <row r="103" spans="2:16" x14ac:dyDescent="0.25">
      <c r="B103" s="342"/>
      <c r="C103" s="342"/>
      <c r="D103" s="342"/>
      <c r="E103" s="342"/>
      <c r="F103" s="342"/>
      <c r="G103" s="342"/>
      <c r="H103" s="342"/>
      <c r="I103" s="342"/>
      <c r="J103" s="342"/>
      <c r="K103" s="342"/>
      <c r="L103" s="342"/>
      <c r="M103" s="342"/>
      <c r="N103" s="342"/>
      <c r="O103" s="342"/>
      <c r="P103" s="342"/>
    </row>
    <row r="104" spans="2:16" x14ac:dyDescent="0.25">
      <c r="B104" s="342"/>
      <c r="C104" s="342"/>
      <c r="D104" s="342"/>
      <c r="E104" s="342"/>
      <c r="F104" s="342"/>
      <c r="G104" s="342"/>
      <c r="H104" s="342"/>
      <c r="I104" s="342"/>
      <c r="J104" s="342"/>
      <c r="K104" s="342"/>
      <c r="L104" s="342"/>
      <c r="M104" s="342"/>
      <c r="N104" s="342"/>
      <c r="O104" s="342"/>
      <c r="P104" s="342"/>
    </row>
    <row r="105" spans="2:16" x14ac:dyDescent="0.25">
      <c r="B105" s="342"/>
      <c r="C105" s="342"/>
      <c r="D105" s="342"/>
      <c r="E105" s="342"/>
      <c r="F105" s="342"/>
      <c r="G105" s="342"/>
      <c r="H105" s="342"/>
      <c r="I105" s="342"/>
      <c r="J105" s="342"/>
      <c r="K105" s="342"/>
      <c r="L105" s="342"/>
      <c r="M105" s="342"/>
      <c r="N105" s="342"/>
      <c r="O105" s="342"/>
      <c r="P105" s="342"/>
    </row>
  </sheetData>
  <mergeCells count="98">
    <mergeCell ref="B88:L88"/>
    <mergeCell ref="N88:P88"/>
    <mergeCell ref="Q88:S88"/>
    <mergeCell ref="B86:K86"/>
    <mergeCell ref="N86:P86"/>
    <mergeCell ref="Q86:S86"/>
    <mergeCell ref="B87:L87"/>
    <mergeCell ref="N87:P87"/>
    <mergeCell ref="Q87:S87"/>
    <mergeCell ref="B84:K84"/>
    <mergeCell ref="N84:P84"/>
    <mergeCell ref="Q84:S84"/>
    <mergeCell ref="B85:K85"/>
    <mergeCell ref="N85:P85"/>
    <mergeCell ref="Q85:S85"/>
    <mergeCell ref="B82:K82"/>
    <mergeCell ref="N82:P82"/>
    <mergeCell ref="Q82:S82"/>
    <mergeCell ref="B83:K83"/>
    <mergeCell ref="N83:P83"/>
    <mergeCell ref="Q83:S83"/>
    <mergeCell ref="B81:L81"/>
    <mergeCell ref="N81:P81"/>
    <mergeCell ref="Q81:S81"/>
    <mergeCell ref="U81:V81"/>
    <mergeCell ref="B27:K27"/>
    <mergeCell ref="B69:O69"/>
    <mergeCell ref="Q69:S69"/>
    <mergeCell ref="B70:V70"/>
    <mergeCell ref="S71:U71"/>
    <mergeCell ref="S72:U72"/>
    <mergeCell ref="S73:U73"/>
    <mergeCell ref="S77:U77"/>
    <mergeCell ref="S78:U78"/>
    <mergeCell ref="B80:L80"/>
    <mergeCell ref="M80:V8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6:K16"/>
    <mergeCell ref="B11:K11"/>
    <mergeCell ref="M11:V11"/>
    <mergeCell ref="B12:L12"/>
    <mergeCell ref="M12:V12"/>
    <mergeCell ref="B13:V13"/>
    <mergeCell ref="B14:K15"/>
    <mergeCell ref="L14:P14"/>
    <mergeCell ref="Q14:V14"/>
    <mergeCell ref="M15:P15"/>
    <mergeCell ref="Q15:S15"/>
    <mergeCell ref="T15:V15"/>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pageMargins left="0.7" right="0.7" top="0.75" bottom="0.75" header="0.3" footer="0.3"/>
  <pageSetup paperSize="5" scale="49" orientation="landscape" horizontalDpi="4294967292" verticalDpi="1200" r:id="rId1"/>
  <rowBreaks count="1" manualBreakCount="1">
    <brk id="70" min="1" max="21" man="1"/>
  </rowBreaks>
  <colBreaks count="1" manualBreakCount="1">
    <brk id="2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84"/>
  <sheetViews>
    <sheetView view="pageBreakPreview" topLeftCell="B1" zoomScale="73" zoomScaleNormal="72" workbookViewId="0">
      <selection activeCell="M9" sqref="M9:V9"/>
    </sheetView>
  </sheetViews>
  <sheetFormatPr defaultColWidth="8.7265625" defaultRowHeight="12.5" x14ac:dyDescent="0.25"/>
  <cols>
    <col min="1" max="1" width="3.816406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17.1796875" style="341" customWidth="1"/>
    <col min="17" max="17" width="9" style="341" customWidth="1"/>
    <col min="18" max="18" width="8" style="341" customWidth="1"/>
    <col min="19" max="19" width="15.1796875" style="341" customWidth="1"/>
    <col min="20" max="20" width="30.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884" t="s">
        <v>1016</v>
      </c>
      <c r="T3" s="2672"/>
      <c r="U3" s="2885"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'Pemel Kend Dinas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591"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592"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598" t="s">
        <v>251</v>
      </c>
      <c r="M8" s="2862" t="s">
        <v>95</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1017</v>
      </c>
      <c r="M9" s="2866" t="s">
        <v>1018</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'Pemel Kend Dinas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586"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82"/>
      <c r="L16" s="521" t="s">
        <v>1019</v>
      </c>
      <c r="M16" s="2827" t="str">
        <f>L16</f>
        <v xml:space="preserve">Persentase peralatan gedung kantor yang disediakan </v>
      </c>
      <c r="N16" s="2828"/>
      <c r="O16" s="2828"/>
      <c r="P16" s="2829"/>
      <c r="Q16" s="2821">
        <v>1</v>
      </c>
      <c r="R16" s="2822"/>
      <c r="S16" s="2822"/>
      <c r="T16" s="2872">
        <f>Q16</f>
        <v>1</v>
      </c>
      <c r="U16" s="2873"/>
      <c r="V16" s="2874"/>
      <c r="W16" s="522"/>
      <c r="X16" s="523"/>
    </row>
    <row r="17" spans="2:22" ht="14" x14ac:dyDescent="0.3">
      <c r="B17" s="2817" t="s">
        <v>135</v>
      </c>
      <c r="C17" s="2818"/>
      <c r="D17" s="2818"/>
      <c r="E17" s="2818"/>
      <c r="F17" s="2818"/>
      <c r="G17" s="2818"/>
      <c r="H17" s="2818"/>
      <c r="I17" s="2818"/>
      <c r="J17" s="2818"/>
      <c r="K17" s="2882"/>
      <c r="L17" s="524" t="s">
        <v>430</v>
      </c>
      <c r="M17" s="2838" t="str">
        <f>L17</f>
        <v>Jumlah Dana Yang Dibutuhkan</v>
      </c>
      <c r="N17" s="2838"/>
      <c r="O17" s="2838"/>
      <c r="P17" s="2838"/>
      <c r="Q17" s="2839">
        <f>P28</f>
        <v>100800000</v>
      </c>
      <c r="R17" s="2840"/>
      <c r="S17" s="2841"/>
      <c r="T17" s="2842">
        <f>T28</f>
        <v>0</v>
      </c>
      <c r="U17" s="2842"/>
      <c r="V17" s="2843"/>
    </row>
    <row r="18" spans="2:22" ht="14" x14ac:dyDescent="0.3">
      <c r="B18" s="2817" t="s">
        <v>136</v>
      </c>
      <c r="C18" s="2818"/>
      <c r="D18" s="2818"/>
      <c r="E18" s="2818"/>
      <c r="F18" s="2818"/>
      <c r="G18" s="2818"/>
      <c r="H18" s="2818"/>
      <c r="I18" s="2818"/>
      <c r="J18" s="2818"/>
      <c r="K18" s="2882"/>
      <c r="L18" s="525" t="s">
        <v>1020</v>
      </c>
      <c r="M18" s="2820" t="str">
        <f>L18</f>
        <v>Jumlah jenis peralatan gedung kantor yang disediakan</v>
      </c>
      <c r="N18" s="2820"/>
      <c r="O18" s="2820"/>
      <c r="P18" s="2820"/>
      <c r="Q18" s="2822" t="s">
        <v>529</v>
      </c>
      <c r="R18" s="2822"/>
      <c r="S18" s="2822"/>
      <c r="T18" s="2822" t="str">
        <f>Q18</f>
        <v>6 Jenis</v>
      </c>
      <c r="U18" s="2822"/>
      <c r="V18" s="2823"/>
    </row>
    <row r="19" spans="2:22" ht="14" x14ac:dyDescent="0.3">
      <c r="B19" s="2817" t="s">
        <v>137</v>
      </c>
      <c r="C19" s="2818"/>
      <c r="D19" s="2818"/>
      <c r="E19" s="2818"/>
      <c r="F19" s="2818"/>
      <c r="G19" s="2818"/>
      <c r="H19" s="2818"/>
      <c r="I19" s="2818"/>
      <c r="J19" s="2818"/>
      <c r="K19" s="2882"/>
      <c r="L19" s="525" t="s">
        <v>495</v>
      </c>
      <c r="M19" s="2820" t="str">
        <f>L19</f>
        <v>Tingkat ketersediaan sarana dan prasarana</v>
      </c>
      <c r="N19" s="2820"/>
      <c r="O19" s="2820"/>
      <c r="P19" s="2820"/>
      <c r="Q19" s="2821">
        <v>1</v>
      </c>
      <c r="R19" s="2822"/>
      <c r="S19" s="2822"/>
      <c r="T19" s="2821">
        <f>Q19</f>
        <v>1</v>
      </c>
      <c r="U19" s="2822"/>
      <c r="V19" s="2823"/>
    </row>
    <row r="20" spans="2:22" ht="14.25" customHeight="1" x14ac:dyDescent="0.3">
      <c r="B20" s="2824" t="s">
        <v>334</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876"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876"/>
      <c r="M23" s="2640" t="s">
        <v>125</v>
      </c>
      <c r="N23" s="2641"/>
      <c r="O23" s="2642"/>
      <c r="P23" s="1596"/>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15" t="s">
        <v>122</v>
      </c>
      <c r="Q24" s="2878" t="s">
        <v>127</v>
      </c>
      <c r="R24" s="2880" t="s">
        <v>8</v>
      </c>
      <c r="S24" s="2880" t="s">
        <v>129</v>
      </c>
      <c r="T24" s="8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15" t="s">
        <v>123</v>
      </c>
      <c r="Q25" s="2879"/>
      <c r="R25" s="2881"/>
      <c r="S25" s="2881"/>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589" t="s">
        <v>7</v>
      </c>
      <c r="Q27" s="147">
        <v>7</v>
      </c>
      <c r="R27" s="147">
        <v>8</v>
      </c>
      <c r="S27" s="86">
        <v>9</v>
      </c>
      <c r="T27" s="90" t="s">
        <v>275</v>
      </c>
      <c r="U27" s="1337" t="s">
        <v>274</v>
      </c>
      <c r="V27" s="93">
        <v>12</v>
      </c>
    </row>
    <row r="28" spans="2:22" ht="13" thickTop="1" x14ac:dyDescent="0.25">
      <c r="B28" s="486">
        <v>1</v>
      </c>
      <c r="C28" s="487" t="s">
        <v>239</v>
      </c>
      <c r="D28" s="487" t="s">
        <v>84</v>
      </c>
      <c r="E28" s="1674"/>
      <c r="F28" s="489"/>
      <c r="G28" s="473">
        <v>5</v>
      </c>
      <c r="H28" s="473">
        <v>2</v>
      </c>
      <c r="I28" s="489"/>
      <c r="J28" s="489"/>
      <c r="K28" s="489"/>
      <c r="L28" s="490" t="s">
        <v>54</v>
      </c>
      <c r="M28" s="491"/>
      <c r="N28" s="491"/>
      <c r="O28" s="492"/>
      <c r="P28" s="547">
        <f>P30</f>
        <v>100800000</v>
      </c>
      <c r="Q28" s="553"/>
      <c r="R28" s="553"/>
      <c r="S28" s="554"/>
      <c r="T28" s="547">
        <f>T30</f>
        <v>0</v>
      </c>
      <c r="U28" s="424">
        <f>SUM(T28)-P28</f>
        <v>-100800000</v>
      </c>
      <c r="V28" s="425"/>
    </row>
    <row r="29" spans="2:22" x14ac:dyDescent="0.25">
      <c r="B29" s="486"/>
      <c r="C29" s="487"/>
      <c r="D29" s="487"/>
      <c r="E29" s="1674"/>
      <c r="F29" s="489"/>
      <c r="G29" s="473"/>
      <c r="H29" s="473"/>
      <c r="I29" s="489"/>
      <c r="J29" s="489"/>
      <c r="K29" s="489"/>
      <c r="L29" s="1675"/>
      <c r="M29" s="491"/>
      <c r="N29" s="491"/>
      <c r="O29" s="492"/>
      <c r="P29" s="547"/>
      <c r="Q29" s="491"/>
      <c r="R29" s="491"/>
      <c r="S29" s="492"/>
      <c r="T29" s="547"/>
      <c r="U29" s="428"/>
      <c r="V29" s="697"/>
    </row>
    <row r="30" spans="2:22" x14ac:dyDescent="0.25">
      <c r="B30" s="486">
        <v>1</v>
      </c>
      <c r="C30" s="487" t="s">
        <v>239</v>
      </c>
      <c r="D30" s="487" t="s">
        <v>84</v>
      </c>
      <c r="E30" s="1650" t="s">
        <v>87</v>
      </c>
      <c r="F30" s="489"/>
      <c r="G30" s="473"/>
      <c r="H30" s="473"/>
      <c r="I30" s="489"/>
      <c r="J30" s="489"/>
      <c r="K30" s="489"/>
      <c r="L30" s="1676" t="s">
        <v>93</v>
      </c>
      <c r="M30" s="491"/>
      <c r="N30" s="491"/>
      <c r="O30" s="492"/>
      <c r="P30" s="547">
        <f>P32</f>
        <v>100800000</v>
      </c>
      <c r="Q30" s="491"/>
      <c r="R30" s="491"/>
      <c r="S30" s="492"/>
      <c r="T30" s="547">
        <f>T32</f>
        <v>0</v>
      </c>
      <c r="U30" s="428">
        <f>SUM(T30)-P30</f>
        <v>-100800000</v>
      </c>
      <c r="V30" s="643">
        <f>U30/P30*100</f>
        <v>-100</v>
      </c>
    </row>
    <row r="31" spans="2:22" x14ac:dyDescent="0.25">
      <c r="B31" s="486"/>
      <c r="C31" s="487"/>
      <c r="D31" s="487"/>
      <c r="E31" s="1650"/>
      <c r="F31" s="487"/>
      <c r="G31" s="473"/>
      <c r="H31" s="473"/>
      <c r="I31" s="489"/>
      <c r="J31" s="489"/>
      <c r="K31" s="489"/>
      <c r="L31" s="1677"/>
      <c r="M31" s="491"/>
      <c r="N31" s="491"/>
      <c r="O31" s="492"/>
      <c r="P31" s="548"/>
      <c r="Q31" s="491"/>
      <c r="R31" s="491"/>
      <c r="S31" s="492"/>
      <c r="T31" s="548"/>
      <c r="U31" s="428"/>
      <c r="V31" s="697"/>
    </row>
    <row r="32" spans="2:22" x14ac:dyDescent="0.25">
      <c r="B32" s="486">
        <v>1</v>
      </c>
      <c r="C32" s="487" t="s">
        <v>239</v>
      </c>
      <c r="D32" s="487" t="s">
        <v>84</v>
      </c>
      <c r="E32" s="1650" t="s">
        <v>87</v>
      </c>
      <c r="F32" s="487" t="s">
        <v>94</v>
      </c>
      <c r="G32" s="473"/>
      <c r="H32" s="473"/>
      <c r="I32" s="489"/>
      <c r="J32" s="489"/>
      <c r="K32" s="487"/>
      <c r="L32" s="1678" t="s">
        <v>1018</v>
      </c>
      <c r="M32" s="1679"/>
      <c r="N32" s="1680"/>
      <c r="O32" s="1680"/>
      <c r="P32" s="547">
        <f>P34</f>
        <v>100800000</v>
      </c>
      <c r="Q32" s="1679"/>
      <c r="R32" s="1680"/>
      <c r="S32" s="1680"/>
      <c r="T32" s="547">
        <f>T34</f>
        <v>0</v>
      </c>
      <c r="U32" s="428">
        <f>SUM(T32)-P32</f>
        <v>-100800000</v>
      </c>
      <c r="V32" s="643">
        <f>U32/P32*100</f>
        <v>-100</v>
      </c>
    </row>
    <row r="33" spans="2:22" x14ac:dyDescent="0.25">
      <c r="B33" s="486"/>
      <c r="C33" s="487"/>
      <c r="D33" s="487"/>
      <c r="E33" s="1650"/>
      <c r="F33" s="487"/>
      <c r="G33" s="473"/>
      <c r="H33" s="473"/>
      <c r="I33" s="489"/>
      <c r="J33" s="489"/>
      <c r="K33" s="487"/>
      <c r="L33" s="1681"/>
      <c r="M33" s="491"/>
      <c r="N33" s="492"/>
      <c r="O33" s="1682"/>
      <c r="P33" s="548"/>
      <c r="Q33" s="491"/>
      <c r="R33" s="492"/>
      <c r="S33" s="1682"/>
      <c r="T33" s="548"/>
      <c r="U33" s="428"/>
      <c r="V33" s="697"/>
    </row>
    <row r="34" spans="2:22" x14ac:dyDescent="0.25">
      <c r="B34" s="486">
        <v>1</v>
      </c>
      <c r="C34" s="487" t="s">
        <v>239</v>
      </c>
      <c r="D34" s="487" t="s">
        <v>84</v>
      </c>
      <c r="E34" s="1650" t="s">
        <v>87</v>
      </c>
      <c r="F34" s="487" t="s">
        <v>94</v>
      </c>
      <c r="G34" s="473">
        <v>5</v>
      </c>
      <c r="H34" s="473">
        <v>2</v>
      </c>
      <c r="I34" s="489">
        <v>3</v>
      </c>
      <c r="J34" s="487"/>
      <c r="K34" s="489"/>
      <c r="L34" s="494" t="s">
        <v>92</v>
      </c>
      <c r="M34" s="498"/>
      <c r="N34" s="499"/>
      <c r="O34" s="500"/>
      <c r="P34" s="545">
        <f>SUM(P35+P41)</f>
        <v>100800000</v>
      </c>
      <c r="Q34" s="476"/>
      <c r="R34" s="500"/>
      <c r="S34" s="1683"/>
      <c r="T34" s="547">
        <f>T35</f>
        <v>0</v>
      </c>
      <c r="U34" s="428"/>
      <c r="V34" s="643">
        <f>U34/P34*100</f>
        <v>0</v>
      </c>
    </row>
    <row r="35" spans="2:22" x14ac:dyDescent="0.25">
      <c r="B35" s="486">
        <v>1</v>
      </c>
      <c r="C35" s="487" t="s">
        <v>239</v>
      </c>
      <c r="D35" s="487" t="s">
        <v>84</v>
      </c>
      <c r="E35" s="1650" t="s">
        <v>87</v>
      </c>
      <c r="F35" s="487" t="s">
        <v>94</v>
      </c>
      <c r="G35" s="473">
        <v>5</v>
      </c>
      <c r="H35" s="473">
        <v>2</v>
      </c>
      <c r="I35" s="489">
        <v>3</v>
      </c>
      <c r="J35" s="487">
        <v>12</v>
      </c>
      <c r="K35" s="489"/>
      <c r="L35" s="1652" t="s">
        <v>224</v>
      </c>
      <c r="M35" s="1653"/>
      <c r="N35" s="1654"/>
      <c r="O35" s="1655"/>
      <c r="P35" s="1704">
        <f>SUM(P36+P38)</f>
        <v>77000000</v>
      </c>
      <c r="Q35" s="476"/>
      <c r="R35" s="1684"/>
      <c r="S35" s="1685"/>
      <c r="T35" s="547">
        <f>T36+T39+T42</f>
        <v>0</v>
      </c>
      <c r="U35" s="428">
        <f>SUM(T35)-P35</f>
        <v>-77000000</v>
      </c>
      <c r="V35" s="643"/>
    </row>
    <row r="36" spans="2:22" x14ac:dyDescent="0.25">
      <c r="B36" s="486">
        <v>1</v>
      </c>
      <c r="C36" s="487" t="s">
        <v>239</v>
      </c>
      <c r="D36" s="487" t="s">
        <v>84</v>
      </c>
      <c r="E36" s="1650" t="s">
        <v>87</v>
      </c>
      <c r="F36" s="487" t="s">
        <v>94</v>
      </c>
      <c r="G36" s="473">
        <v>5</v>
      </c>
      <c r="H36" s="473">
        <v>2</v>
      </c>
      <c r="I36" s="489">
        <v>3</v>
      </c>
      <c r="J36" s="487">
        <v>12</v>
      </c>
      <c r="K36" s="487" t="s">
        <v>87</v>
      </c>
      <c r="L36" s="1656" t="s">
        <v>1021</v>
      </c>
      <c r="M36" s="1653"/>
      <c r="N36" s="1657"/>
      <c r="O36" s="1658"/>
      <c r="P36" s="1705">
        <f>SUM(P37:P37)</f>
        <v>22000000</v>
      </c>
      <c r="Q36" s="476"/>
      <c r="R36" s="500"/>
      <c r="S36" s="1683"/>
      <c r="T36" s="548">
        <f>SUM(T37:T37)</f>
        <v>0</v>
      </c>
      <c r="U36" s="428">
        <f>SUM(T36)-P36</f>
        <v>-22000000</v>
      </c>
      <c r="V36" s="643"/>
    </row>
    <row r="37" spans="2:22" ht="49.5" customHeight="1" x14ac:dyDescent="0.25">
      <c r="B37" s="486"/>
      <c r="C37" s="487"/>
      <c r="D37" s="487"/>
      <c r="E37" s="1650"/>
      <c r="F37" s="487"/>
      <c r="G37" s="473"/>
      <c r="H37" s="473"/>
      <c r="I37" s="489"/>
      <c r="J37" s="487"/>
      <c r="K37" s="489"/>
      <c r="L37" s="1659" t="s">
        <v>1022</v>
      </c>
      <c r="M37" s="1660">
        <v>1</v>
      </c>
      <c r="N37" s="1661" t="s">
        <v>61</v>
      </c>
      <c r="O37" s="1662">
        <v>22000000</v>
      </c>
      <c r="P37" s="1706">
        <f>O37*M37</f>
        <v>22000000</v>
      </c>
      <c r="Q37" s="1710"/>
      <c r="R37" s="1686"/>
      <c r="S37" s="905"/>
      <c r="T37" s="904">
        <f>S37*Q37</f>
        <v>0</v>
      </c>
      <c r="U37" s="812">
        <f>SUM(T37)-P37</f>
        <v>-22000000</v>
      </c>
      <c r="V37" s="643"/>
    </row>
    <row r="38" spans="2:22" ht="15" customHeight="1" x14ac:dyDescent="0.25">
      <c r="B38" s="486">
        <v>1</v>
      </c>
      <c r="C38" s="487" t="s">
        <v>239</v>
      </c>
      <c r="D38" s="487" t="s">
        <v>84</v>
      </c>
      <c r="E38" s="1650" t="s">
        <v>87</v>
      </c>
      <c r="F38" s="487" t="s">
        <v>94</v>
      </c>
      <c r="G38" s="473">
        <v>5</v>
      </c>
      <c r="H38" s="473">
        <v>2</v>
      </c>
      <c r="I38" s="489">
        <v>3</v>
      </c>
      <c r="J38" s="487">
        <v>12</v>
      </c>
      <c r="K38" s="487" t="s">
        <v>97</v>
      </c>
      <c r="L38" s="1663" t="s">
        <v>792</v>
      </c>
      <c r="M38" s="1664"/>
      <c r="N38" s="1665"/>
      <c r="O38" s="1666"/>
      <c r="P38" s="1707">
        <f>P39</f>
        <v>55000000</v>
      </c>
      <c r="Q38" s="1710"/>
      <c r="R38" s="1686"/>
      <c r="S38" s="905"/>
      <c r="T38" s="904"/>
      <c r="U38" s="812"/>
      <c r="V38" s="643"/>
    </row>
    <row r="39" spans="2:22" ht="17.5" customHeight="1" x14ac:dyDescent="0.25">
      <c r="B39" s="486"/>
      <c r="C39" s="487"/>
      <c r="D39" s="487"/>
      <c r="E39" s="1650"/>
      <c r="F39" s="487"/>
      <c r="G39" s="473"/>
      <c r="H39" s="473"/>
      <c r="I39" s="489"/>
      <c r="J39" s="487"/>
      <c r="K39" s="489"/>
      <c r="L39" s="1672" t="s">
        <v>793</v>
      </c>
      <c r="M39" s="1700">
        <v>5</v>
      </c>
      <c r="N39" s="1701" t="s">
        <v>61</v>
      </c>
      <c r="O39" s="1702">
        <v>11000000</v>
      </c>
      <c r="P39" s="1708">
        <f>O39*M39</f>
        <v>55000000</v>
      </c>
      <c r="Q39" s="1711"/>
      <c r="R39" s="887"/>
      <c r="S39" s="1382"/>
      <c r="T39" s="894">
        <f>SUM(T40:T40)</f>
        <v>0</v>
      </c>
      <c r="U39" s="428">
        <f>SUM(T39)-P39</f>
        <v>-55000000</v>
      </c>
      <c r="V39" s="643"/>
    </row>
    <row r="40" spans="2:22" ht="13.5" customHeight="1" x14ac:dyDescent="0.25">
      <c r="B40" s="486"/>
      <c r="C40" s="487"/>
      <c r="D40" s="487"/>
      <c r="E40" s="1650"/>
      <c r="F40" s="487"/>
      <c r="G40" s="473"/>
      <c r="H40" s="473"/>
      <c r="I40" s="489"/>
      <c r="J40" s="487"/>
      <c r="K40" s="489"/>
      <c r="L40" s="1667"/>
      <c r="M40" s="1664"/>
      <c r="N40" s="1665"/>
      <c r="O40" s="1668"/>
      <c r="P40" s="1707"/>
      <c r="Q40" s="1710"/>
      <c r="R40" s="1686"/>
      <c r="S40" s="905"/>
      <c r="T40" s="904">
        <f>S40*Q40</f>
        <v>0</v>
      </c>
      <c r="U40" s="812">
        <f>SUM(T40)-P40</f>
        <v>0</v>
      </c>
      <c r="V40" s="643"/>
    </row>
    <row r="41" spans="2:22" x14ac:dyDescent="0.25">
      <c r="B41" s="654">
        <v>1</v>
      </c>
      <c r="C41" s="564" t="s">
        <v>239</v>
      </c>
      <c r="D41" s="564" t="s">
        <v>84</v>
      </c>
      <c r="E41" s="826" t="s">
        <v>87</v>
      </c>
      <c r="F41" s="564" t="s">
        <v>94</v>
      </c>
      <c r="G41" s="474">
        <v>5</v>
      </c>
      <c r="H41" s="474">
        <v>2</v>
      </c>
      <c r="I41" s="566">
        <v>3</v>
      </c>
      <c r="J41" s="564">
        <v>16</v>
      </c>
      <c r="K41" s="489"/>
      <c r="L41" s="1652" t="s">
        <v>794</v>
      </c>
      <c r="M41" s="1653"/>
      <c r="N41" s="1654"/>
      <c r="O41" s="1655"/>
      <c r="P41" s="1704">
        <f>P44+P42</f>
        <v>23800000</v>
      </c>
      <c r="Q41" s="1712"/>
      <c r="R41" s="1687"/>
      <c r="S41" s="1688"/>
      <c r="T41" s="1689"/>
      <c r="U41" s="428"/>
      <c r="V41" s="643"/>
    </row>
    <row r="42" spans="2:22" x14ac:dyDescent="0.25">
      <c r="B42" s="654">
        <v>1</v>
      </c>
      <c r="C42" s="564" t="s">
        <v>239</v>
      </c>
      <c r="D42" s="564" t="s">
        <v>84</v>
      </c>
      <c r="E42" s="826" t="s">
        <v>87</v>
      </c>
      <c r="F42" s="564" t="s">
        <v>94</v>
      </c>
      <c r="G42" s="474">
        <v>5</v>
      </c>
      <c r="H42" s="474">
        <v>2</v>
      </c>
      <c r="I42" s="566">
        <v>3</v>
      </c>
      <c r="J42" s="564">
        <v>16</v>
      </c>
      <c r="K42" s="564" t="s">
        <v>84</v>
      </c>
      <c r="L42" s="1669" t="s">
        <v>795</v>
      </c>
      <c r="M42" s="1664"/>
      <c r="N42" s="1670"/>
      <c r="O42" s="1671"/>
      <c r="P42" s="1709">
        <f>P43</f>
        <v>13800000</v>
      </c>
      <c r="Q42" s="1712"/>
      <c r="R42" s="1687"/>
      <c r="S42" s="1690"/>
      <c r="T42" s="1689">
        <f>SUM(T43:T44)</f>
        <v>0</v>
      </c>
      <c r="U42" s="428">
        <f>SUM(T42)-P42</f>
        <v>-13800000</v>
      </c>
      <c r="V42" s="643"/>
    </row>
    <row r="43" spans="2:22" ht="17" customHeight="1" x14ac:dyDescent="0.25">
      <c r="B43" s="486"/>
      <c r="C43" s="487"/>
      <c r="D43" s="487"/>
      <c r="E43" s="1650"/>
      <c r="F43" s="487"/>
      <c r="G43" s="473"/>
      <c r="H43" s="473"/>
      <c r="I43" s="489"/>
      <c r="J43" s="487"/>
      <c r="K43" s="489"/>
      <c r="L43" s="1672" t="s">
        <v>1023</v>
      </c>
      <c r="M43" s="1664">
        <v>1</v>
      </c>
      <c r="N43" s="1670" t="s">
        <v>61</v>
      </c>
      <c r="O43" s="1673">
        <v>13800000</v>
      </c>
      <c r="P43" s="1709">
        <f>O43*M43</f>
        <v>13800000</v>
      </c>
      <c r="Q43" s="1710"/>
      <c r="R43" s="1686"/>
      <c r="S43" s="905"/>
      <c r="T43" s="904">
        <f>S43*Q43</f>
        <v>0</v>
      </c>
      <c r="U43" s="812">
        <f>SUM(T43)-P43</f>
        <v>-13800000</v>
      </c>
      <c r="V43" s="439"/>
    </row>
    <row r="44" spans="2:22" ht="43" customHeight="1" x14ac:dyDescent="0.25">
      <c r="B44" s="654">
        <v>1</v>
      </c>
      <c r="C44" s="564" t="s">
        <v>239</v>
      </c>
      <c r="D44" s="564" t="s">
        <v>84</v>
      </c>
      <c r="E44" s="826" t="s">
        <v>87</v>
      </c>
      <c r="F44" s="564" t="s">
        <v>94</v>
      </c>
      <c r="G44" s="474">
        <v>5</v>
      </c>
      <c r="H44" s="474">
        <v>2</v>
      </c>
      <c r="I44" s="566">
        <v>3</v>
      </c>
      <c r="J44" s="564">
        <v>16</v>
      </c>
      <c r="K44" s="564" t="s">
        <v>112</v>
      </c>
      <c r="L44" s="1669" t="s">
        <v>797</v>
      </c>
      <c r="M44" s="1664"/>
      <c r="N44" s="1670"/>
      <c r="O44" s="1671"/>
      <c r="P44" s="1709">
        <f>P45</f>
        <v>10000000</v>
      </c>
      <c r="Q44" s="1710"/>
      <c r="R44" s="1686"/>
      <c r="S44" s="905"/>
      <c r="T44" s="904">
        <f>S44*Q44</f>
        <v>0</v>
      </c>
      <c r="U44" s="812">
        <f>SUM(T44)-P44</f>
        <v>-10000000</v>
      </c>
      <c r="V44" s="439"/>
    </row>
    <row r="45" spans="2:22" x14ac:dyDescent="0.25">
      <c r="B45" s="486"/>
      <c r="C45" s="487"/>
      <c r="D45" s="487"/>
      <c r="E45" s="1650"/>
      <c r="F45" s="487"/>
      <c r="G45" s="473"/>
      <c r="H45" s="473"/>
      <c r="I45" s="489"/>
      <c r="J45" s="487"/>
      <c r="K45" s="489"/>
      <c r="L45" s="1703" t="s">
        <v>1024</v>
      </c>
      <c r="M45" s="1664">
        <v>1</v>
      </c>
      <c r="N45" s="1670" t="s">
        <v>61</v>
      </c>
      <c r="O45" s="1673">
        <v>10000000</v>
      </c>
      <c r="P45" s="1709">
        <f>O45*M45</f>
        <v>10000000</v>
      </c>
      <c r="Q45" s="1713"/>
      <c r="R45" s="500"/>
      <c r="S45" s="559"/>
      <c r="T45" s="1691"/>
      <c r="U45" s="428"/>
      <c r="V45" s="643"/>
    </row>
    <row r="46" spans="2:22" x14ac:dyDescent="0.25">
      <c r="B46" s="47"/>
      <c r="C46" s="6"/>
      <c r="D46" s="6"/>
      <c r="E46" s="645"/>
      <c r="F46" s="645"/>
      <c r="G46" s="646"/>
      <c r="H46" s="646"/>
      <c r="I46" s="116"/>
      <c r="J46" s="6"/>
      <c r="K46" s="6"/>
      <c r="L46" s="1697"/>
      <c r="M46" s="648"/>
      <c r="N46" s="648"/>
      <c r="O46" s="1698"/>
      <c r="P46" s="598"/>
      <c r="Q46" s="650"/>
      <c r="R46" s="650"/>
      <c r="S46" s="1699"/>
      <c r="T46" s="539"/>
      <c r="U46" s="599"/>
      <c r="V46" s="600"/>
    </row>
    <row r="47" spans="2:22" ht="14.5" thickBot="1" x14ac:dyDescent="0.3">
      <c r="B47" s="2730" t="s">
        <v>15</v>
      </c>
      <c r="C47" s="2731"/>
      <c r="D47" s="2731"/>
      <c r="E47" s="2731"/>
      <c r="F47" s="2731"/>
      <c r="G47" s="2731"/>
      <c r="H47" s="2731"/>
      <c r="I47" s="2731"/>
      <c r="J47" s="2731"/>
      <c r="K47" s="2731"/>
      <c r="L47" s="2731"/>
      <c r="M47" s="2731"/>
      <c r="N47" s="2731"/>
      <c r="O47" s="2731"/>
      <c r="P47" s="436">
        <f>P28</f>
        <v>100800000</v>
      </c>
      <c r="Q47" s="2696"/>
      <c r="R47" s="2697"/>
      <c r="S47" s="2698"/>
      <c r="T47" s="1605">
        <f>T28</f>
        <v>0</v>
      </c>
      <c r="U47" s="1001">
        <f>U28</f>
        <v>-100800000</v>
      </c>
      <c r="V47" s="439">
        <f>U47/P47*100</f>
        <v>-100</v>
      </c>
    </row>
    <row r="48" spans="2:22" ht="13" thickTop="1" x14ac:dyDescent="0.25">
      <c r="B48" s="2890"/>
      <c r="C48" s="2891"/>
      <c r="D48" s="2891"/>
      <c r="E48" s="2891"/>
      <c r="F48" s="2891"/>
      <c r="G48" s="2891"/>
      <c r="H48" s="2891"/>
      <c r="I48" s="2891"/>
      <c r="J48" s="2891"/>
      <c r="K48" s="2891"/>
      <c r="L48" s="2891"/>
      <c r="M48" s="2891"/>
      <c r="N48" s="2891"/>
      <c r="O48" s="2891"/>
      <c r="P48" s="2891"/>
      <c r="Q48" s="2891"/>
      <c r="R48" s="2891"/>
      <c r="S48" s="2700"/>
      <c r="T48" s="2700"/>
      <c r="U48" s="2700"/>
      <c r="V48" s="2892"/>
    </row>
    <row r="49" spans="2:23" x14ac:dyDescent="0.25">
      <c r="B49" s="1714"/>
      <c r="C49" s="1588"/>
      <c r="D49" s="1588"/>
      <c r="E49" s="1588"/>
      <c r="F49" s="1588"/>
      <c r="G49" s="1588"/>
      <c r="H49" s="1588"/>
      <c r="I49" s="1588"/>
      <c r="J49" s="1588"/>
      <c r="K49" s="1588"/>
      <c r="L49" s="1588"/>
      <c r="M49" s="1588"/>
      <c r="N49" s="1588"/>
      <c r="O49" s="1588"/>
      <c r="P49" s="1588"/>
      <c r="Q49" s="1588"/>
      <c r="R49" s="1588"/>
      <c r="S49" s="1715"/>
      <c r="T49" s="1715"/>
      <c r="U49" s="1715"/>
      <c r="V49" s="1588"/>
    </row>
    <row r="50" spans="2:23" ht="12.75" customHeight="1" x14ac:dyDescent="0.25">
      <c r="B50" s="440"/>
      <c r="C50" s="20"/>
      <c r="D50" s="20"/>
      <c r="E50" s="20"/>
      <c r="F50" s="20"/>
      <c r="G50" s="20"/>
      <c r="H50" s="20"/>
      <c r="I50" s="20"/>
      <c r="J50" s="20"/>
      <c r="K50" s="20"/>
      <c r="L50" s="21"/>
      <c r="Q50" s="1596"/>
      <c r="S50" s="2702" t="str">
        <f>'Pemel Kend Dinas '!S59:U59</f>
        <v>Banda Aceh,               2020</v>
      </c>
      <c r="T50" s="2702"/>
      <c r="U50" s="2702"/>
      <c r="V50" s="19"/>
      <c r="W50" s="100"/>
    </row>
    <row r="51" spans="2:23" x14ac:dyDescent="0.25">
      <c r="B51" s="440"/>
      <c r="C51" s="20"/>
      <c r="D51" s="20"/>
      <c r="E51" s="20"/>
      <c r="F51" s="20"/>
      <c r="G51" s="20"/>
      <c r="H51" s="20"/>
      <c r="I51" s="20"/>
      <c r="J51" s="20"/>
      <c r="K51" s="20"/>
      <c r="L51" s="1585" t="str">
        <f>'Pemel Kend Dinas '!L60</f>
        <v>Mengesahkan,</v>
      </c>
      <c r="Q51" s="1596"/>
      <c r="S51" s="2703" t="str">
        <f>'Pemel Kend Dinas '!S60:U60</f>
        <v>Pengguna Anggaran</v>
      </c>
      <c r="T51" s="2703"/>
      <c r="U51" s="2703"/>
      <c r="V51" s="44"/>
      <c r="W51" s="22"/>
    </row>
    <row r="52" spans="2:23" ht="12.75" customHeight="1" x14ac:dyDescent="0.25">
      <c r="B52" s="440"/>
      <c r="C52" s="20"/>
      <c r="D52" s="20"/>
      <c r="E52" s="20"/>
      <c r="F52" s="20"/>
      <c r="G52" s="20"/>
      <c r="H52" s="20"/>
      <c r="I52" s="20"/>
      <c r="J52" s="20"/>
      <c r="K52" s="20"/>
      <c r="L52" s="1585" t="str">
        <f>'Pemel Kend Dinas '!L61</f>
        <v>Pejabat Pengelola Keuangan Daerah</v>
      </c>
      <c r="Q52" s="1596"/>
      <c r="S52" s="2703" t="str">
        <f>'Pemel Kend Dinas '!S61:U61</f>
        <v xml:space="preserve"> Satuan Kerja Perangkat Daerah </v>
      </c>
      <c r="T52" s="2703"/>
      <c r="U52" s="2703"/>
      <c r="V52" s="44"/>
      <c r="W52" s="22"/>
    </row>
    <row r="53" spans="2:23" x14ac:dyDescent="0.25">
      <c r="B53" s="440"/>
      <c r="C53" s="20"/>
      <c r="D53" s="20"/>
      <c r="E53" s="20"/>
      <c r="F53" s="20"/>
      <c r="G53" s="20"/>
      <c r="H53" s="20"/>
      <c r="I53" s="20"/>
      <c r="J53" s="20"/>
      <c r="K53" s="20"/>
      <c r="L53" s="1600"/>
      <c r="Q53" s="1596"/>
      <c r="S53" s="113"/>
      <c r="T53" s="101"/>
      <c r="U53" s="101"/>
      <c r="V53" s="111"/>
      <c r="W53" s="102"/>
    </row>
    <row r="54" spans="2:23" x14ac:dyDescent="0.25">
      <c r="B54" s="440"/>
      <c r="C54" s="20"/>
      <c r="D54" s="20"/>
      <c r="E54" s="20"/>
      <c r="F54" s="20"/>
      <c r="G54" s="20"/>
      <c r="H54" s="20"/>
      <c r="I54" s="20"/>
      <c r="J54" s="20"/>
      <c r="K54" s="20"/>
      <c r="L54" s="1600"/>
      <c r="Q54" s="1596"/>
      <c r="S54" s="113"/>
      <c r="T54" s="113"/>
      <c r="U54" s="113"/>
      <c r="V54" s="114"/>
      <c r="W54" s="103"/>
    </row>
    <row r="55" spans="2:23" x14ac:dyDescent="0.25">
      <c r="B55" s="440"/>
      <c r="C55" s="20"/>
      <c r="D55" s="20"/>
      <c r="E55" s="20"/>
      <c r="F55" s="20"/>
      <c r="G55" s="20"/>
      <c r="H55" s="20"/>
      <c r="I55" s="20"/>
      <c r="J55" s="20"/>
      <c r="K55" s="20"/>
      <c r="L55" s="99"/>
      <c r="Q55" s="1596"/>
      <c r="S55" s="113"/>
      <c r="T55" s="101"/>
      <c r="U55" s="101"/>
      <c r="V55" s="111"/>
      <c r="W55" s="102"/>
    </row>
    <row r="56" spans="2:23" ht="14" x14ac:dyDescent="0.3">
      <c r="B56" s="440"/>
      <c r="C56" s="20"/>
      <c r="D56" s="20"/>
      <c r="E56" s="20"/>
      <c r="F56" s="20"/>
      <c r="G56" s="20"/>
      <c r="H56" s="20"/>
      <c r="I56" s="20"/>
      <c r="J56" s="20"/>
      <c r="K56" s="20"/>
      <c r="L56" s="112" t="str">
        <f>'Pemel Kend Dinas '!L65</f>
        <v>M. Iqbal Rokan, S.STP.</v>
      </c>
      <c r="Q56" s="1596"/>
      <c r="S56" s="2704" t="str">
        <f>'Pemel Kend Dinas '!S65:U65</f>
        <v>Bustami, SH</v>
      </c>
      <c r="T56" s="2704"/>
      <c r="U56" s="2704"/>
      <c r="V56" s="45"/>
      <c r="W56" s="104"/>
    </row>
    <row r="57" spans="2:23" x14ac:dyDescent="0.25">
      <c r="B57" s="440"/>
      <c r="C57" s="20"/>
      <c r="D57" s="20"/>
      <c r="E57" s="20"/>
      <c r="F57" s="20"/>
      <c r="G57" s="20"/>
      <c r="H57" s="20"/>
      <c r="I57" s="20"/>
      <c r="J57" s="20"/>
      <c r="K57" s="20"/>
      <c r="L57" s="1585" t="str">
        <f>'Pemel Kend Dinas '!L66</f>
        <v>Nip. 19780505 199810 1 001</v>
      </c>
      <c r="Q57" s="1596"/>
      <c r="S57" s="2703" t="str">
        <f>'Pemel Kend Dinas '!S66:U66</f>
        <v>Pembina Utama Muda / Nip. 196308241987031004</v>
      </c>
      <c r="T57" s="2703"/>
      <c r="U57" s="2703"/>
      <c r="V57" s="44"/>
      <c r="W57" s="22"/>
    </row>
    <row r="58" spans="2:23" x14ac:dyDescent="0.25">
      <c r="B58" s="440"/>
      <c r="C58" s="20"/>
      <c r="D58" s="20"/>
      <c r="E58" s="20"/>
      <c r="F58" s="20"/>
      <c r="G58" s="20"/>
      <c r="H58" s="20"/>
      <c r="I58" s="20"/>
      <c r="J58" s="20"/>
      <c r="K58" s="20"/>
      <c r="L58" s="1585"/>
      <c r="Q58" s="1596"/>
      <c r="S58" s="1585"/>
      <c r="T58" s="1585"/>
      <c r="U58" s="1585"/>
      <c r="V58" s="441"/>
      <c r="W58" s="21"/>
    </row>
    <row r="59" spans="2:23" ht="14.25" customHeight="1" x14ac:dyDescent="0.25">
      <c r="B59" s="2705" t="s">
        <v>286</v>
      </c>
      <c r="C59" s="2706"/>
      <c r="D59" s="2706"/>
      <c r="E59" s="2706"/>
      <c r="F59" s="2706"/>
      <c r="G59" s="2706"/>
      <c r="H59" s="2706"/>
      <c r="I59" s="2706"/>
      <c r="J59" s="2706"/>
      <c r="K59" s="2706"/>
      <c r="L59" s="2706"/>
      <c r="M59" s="2707" t="s">
        <v>145</v>
      </c>
      <c r="N59" s="2708"/>
      <c r="O59" s="2708"/>
      <c r="P59" s="2708"/>
      <c r="Q59" s="2708"/>
      <c r="R59" s="2708"/>
      <c r="S59" s="2708"/>
      <c r="T59" s="2708"/>
      <c r="U59" s="2708"/>
      <c r="V59" s="2709"/>
    </row>
    <row r="60" spans="2:23" ht="14.25" customHeight="1" x14ac:dyDescent="0.3">
      <c r="B60" s="2710"/>
      <c r="C60" s="2711"/>
      <c r="D60" s="2711"/>
      <c r="E60" s="2711"/>
      <c r="F60" s="2711"/>
      <c r="G60" s="2711"/>
      <c r="H60" s="2711"/>
      <c r="I60" s="2711"/>
      <c r="J60" s="2711"/>
      <c r="K60" s="2711"/>
      <c r="L60" s="2712"/>
      <c r="M60" s="1586" t="s">
        <v>142</v>
      </c>
      <c r="N60" s="2713"/>
      <c r="O60" s="2713"/>
      <c r="P60" s="2713"/>
      <c r="Q60" s="2714" t="s">
        <v>143</v>
      </c>
      <c r="R60" s="2714"/>
      <c r="S60" s="2714"/>
      <c r="T60" s="1587" t="s">
        <v>144</v>
      </c>
      <c r="U60" s="2714" t="s">
        <v>146</v>
      </c>
      <c r="V60" s="2715"/>
    </row>
    <row r="61" spans="2:23" ht="14.25" customHeight="1" x14ac:dyDescent="0.3">
      <c r="B61" s="2716" t="s">
        <v>293</v>
      </c>
      <c r="C61" s="2717"/>
      <c r="D61" s="2717"/>
      <c r="E61" s="2717"/>
      <c r="F61" s="2717"/>
      <c r="G61" s="2717"/>
      <c r="H61" s="2717"/>
      <c r="I61" s="2717"/>
      <c r="J61" s="2717"/>
      <c r="K61" s="2717"/>
      <c r="L61" s="107">
        <v>0</v>
      </c>
      <c r="M61" s="118">
        <v>1</v>
      </c>
      <c r="N61" s="2718" t="str">
        <f>'Pemel Kend Dinas '!N70:P70</f>
        <v>Weri, SE. MA</v>
      </c>
      <c r="O61" s="2719"/>
      <c r="P61" s="2719"/>
      <c r="Q61" s="2720" t="str">
        <f>'Pemel Kend Dinas '!Q70:S70</f>
        <v>19640525 198903 1 026</v>
      </c>
      <c r="R61" s="2721"/>
      <c r="S61" s="2722"/>
      <c r="T61" s="109" t="str">
        <f>'Pemel Kend Dinas '!T70</f>
        <v>KEPALA BAPPEDA</v>
      </c>
      <c r="U61" s="442" t="s">
        <v>287</v>
      </c>
      <c r="V61" s="443"/>
    </row>
    <row r="62" spans="2:23" ht="14" x14ac:dyDescent="0.3">
      <c r="B62" s="2716" t="s">
        <v>294</v>
      </c>
      <c r="C62" s="2717"/>
      <c r="D62" s="2717"/>
      <c r="E62" s="2717"/>
      <c r="F62" s="2717"/>
      <c r="G62" s="2717"/>
      <c r="H62" s="2717"/>
      <c r="I62" s="2717"/>
      <c r="J62" s="2717"/>
      <c r="K62" s="2717"/>
      <c r="L62" s="107">
        <v>0</v>
      </c>
      <c r="M62" s="118">
        <v>2</v>
      </c>
      <c r="N62" s="2723" t="str">
        <f>'Pemel Kend Dinas '!N71:P71</f>
        <v>Azmi, SH</v>
      </c>
      <c r="O62" s="2724"/>
      <c r="P62" s="2724"/>
      <c r="Q62" s="2720" t="str">
        <f>'Pemel Kend Dinas '!Q71:S71</f>
        <v>19680824 199903 1 004</v>
      </c>
      <c r="R62" s="2721"/>
      <c r="S62" s="2722"/>
      <c r="T62" s="109" t="s">
        <v>303</v>
      </c>
      <c r="U62" s="444"/>
      <c r="V62" s="445" t="s">
        <v>128</v>
      </c>
    </row>
    <row r="63" spans="2:23" ht="14" x14ac:dyDescent="0.3">
      <c r="B63" s="2716" t="s">
        <v>295</v>
      </c>
      <c r="C63" s="2717"/>
      <c r="D63" s="2717"/>
      <c r="E63" s="2717"/>
      <c r="F63" s="2717"/>
      <c r="G63" s="2717"/>
      <c r="H63" s="2717"/>
      <c r="I63" s="2717"/>
      <c r="J63" s="2717"/>
      <c r="K63" s="2717"/>
      <c r="L63" s="107">
        <v>0</v>
      </c>
      <c r="M63" s="1371">
        <v>3</v>
      </c>
      <c r="N63" s="2723" t="str">
        <f>'Pemel Kend Dinas '!N72:P72</f>
        <v>Muhammad Syaifuddin Ambia, ST, MT</v>
      </c>
      <c r="O63" s="2724"/>
      <c r="P63" s="2724"/>
      <c r="Q63" s="2720" t="str">
        <f>'Pemel Kend Dinas '!Q72:S72</f>
        <v>19741010 200604 1 003</v>
      </c>
      <c r="R63" s="2721"/>
      <c r="S63" s="2722"/>
      <c r="T63" s="109" t="s">
        <v>304</v>
      </c>
      <c r="U63" s="446" t="s">
        <v>292</v>
      </c>
      <c r="V63" s="443"/>
    </row>
    <row r="64" spans="2:23" ht="15" customHeight="1" x14ac:dyDescent="0.3">
      <c r="B64" s="2716" t="s">
        <v>296</v>
      </c>
      <c r="C64" s="2717"/>
      <c r="D64" s="2717"/>
      <c r="E64" s="2717"/>
      <c r="F64" s="2717"/>
      <c r="G64" s="2717"/>
      <c r="H64" s="2717"/>
      <c r="I64" s="2717"/>
      <c r="J64" s="2717"/>
      <c r="K64" s="2717"/>
      <c r="L64" s="107">
        <v>0</v>
      </c>
      <c r="M64" s="118">
        <v>4</v>
      </c>
      <c r="N64" s="2723" t="str">
        <f>'Pemel Kend Dinas '!N73:P73</f>
        <v>Basri, SE, M.Si</v>
      </c>
      <c r="O64" s="2724"/>
      <c r="P64" s="2724"/>
      <c r="Q64" s="2720" t="str">
        <f>'Pemel Kend Dinas '!Q73:S73</f>
        <v>19691213 199403 1 002</v>
      </c>
      <c r="R64" s="2721"/>
      <c r="S64" s="2722"/>
      <c r="T64" s="109" t="s">
        <v>305</v>
      </c>
      <c r="U64" s="444"/>
      <c r="V64" s="445" t="s">
        <v>288</v>
      </c>
    </row>
    <row r="65" spans="2:22" ht="14" x14ac:dyDescent="0.3">
      <c r="B65" s="2716" t="s">
        <v>297</v>
      </c>
      <c r="C65" s="2717"/>
      <c r="D65" s="2717"/>
      <c r="E65" s="2717"/>
      <c r="F65" s="2717"/>
      <c r="G65" s="2717"/>
      <c r="H65" s="2717"/>
      <c r="I65" s="2717"/>
      <c r="J65" s="2717"/>
      <c r="K65" s="2717"/>
      <c r="L65" s="108">
        <f>SUM(L61:L64)</f>
        <v>0</v>
      </c>
      <c r="M65" s="105">
        <v>5</v>
      </c>
      <c r="N65" s="2723" t="str">
        <f>'Pemel Kend Dinas '!N74:P74</f>
        <v>Dewi Shinta Reza, SE. Ak</v>
      </c>
      <c r="O65" s="2724"/>
      <c r="P65" s="2724"/>
      <c r="Q65" s="2720" t="str">
        <f>'Pemel Kend Dinas '!Q74:S74</f>
        <v>19750630 200212 2 003</v>
      </c>
      <c r="R65" s="2721"/>
      <c r="S65" s="2722"/>
      <c r="T65" s="109" t="s">
        <v>306</v>
      </c>
      <c r="U65" s="446" t="s">
        <v>289</v>
      </c>
      <c r="V65" s="443"/>
    </row>
    <row r="66" spans="2:22" ht="13.5" customHeight="1" x14ac:dyDescent="0.3">
      <c r="B66" s="2710"/>
      <c r="C66" s="2711"/>
      <c r="D66" s="2711"/>
      <c r="E66" s="2711"/>
      <c r="F66" s="2711"/>
      <c r="G66" s="2711"/>
      <c r="H66" s="2711"/>
      <c r="I66" s="2711"/>
      <c r="J66" s="2711"/>
      <c r="K66" s="2711"/>
      <c r="L66" s="2712"/>
      <c r="M66" s="105">
        <v>6</v>
      </c>
      <c r="N66" s="2718" t="str">
        <f>'Pemel Kend Dinas '!N75:P75</f>
        <v>Harisman, S.STP, M.Ec.Dev</v>
      </c>
      <c r="O66" s="2719"/>
      <c r="P66" s="2719"/>
      <c r="Q66" s="2720" t="str">
        <f>'Pemel Kend Dinas '!Q75:S75</f>
        <v>19830101 200112 1 003</v>
      </c>
      <c r="R66" s="2721"/>
      <c r="S66" s="2722"/>
      <c r="T66" s="109" t="s">
        <v>307</v>
      </c>
      <c r="U66" s="444"/>
      <c r="V66" s="445" t="s">
        <v>290</v>
      </c>
    </row>
    <row r="67" spans="2:22" ht="14.5" thickBot="1" x14ac:dyDescent="0.35">
      <c r="B67" s="2725"/>
      <c r="C67" s="2726"/>
      <c r="D67" s="2726"/>
      <c r="E67" s="2726"/>
      <c r="F67" s="2726"/>
      <c r="G67" s="2726"/>
      <c r="H67" s="2726"/>
      <c r="I67" s="2726"/>
      <c r="J67" s="2726"/>
      <c r="K67" s="2726"/>
      <c r="L67" s="2727"/>
      <c r="M67" s="106">
        <v>7</v>
      </c>
      <c r="N67" s="2728" t="str">
        <f>'Pemel Kend Dinas '!N76:P76</f>
        <v>Alriandi, S.STP, M.Si</v>
      </c>
      <c r="O67" s="2729"/>
      <c r="P67" s="2729"/>
      <c r="Q67" s="2733" t="str">
        <f>'Pemel Kend Dinas '!Q76:S76</f>
        <v>19830308 200112 1 001</v>
      </c>
      <c r="R67" s="2734"/>
      <c r="S67" s="2735"/>
      <c r="T67" s="110" t="s">
        <v>308</v>
      </c>
      <c r="U67" s="447" t="s">
        <v>291</v>
      </c>
      <c r="V67" s="448"/>
    </row>
    <row r="68" spans="2:22" ht="13" thickTop="1" x14ac:dyDescent="0.25">
      <c r="B68" s="1596"/>
      <c r="C68" s="1596"/>
      <c r="D68" s="1596"/>
      <c r="E68" s="1596"/>
      <c r="F68" s="1596"/>
      <c r="G68" s="1596"/>
      <c r="H68" s="1596"/>
      <c r="I68" s="1596"/>
      <c r="J68" s="1596"/>
      <c r="K68" s="1596"/>
      <c r="L68" s="1596"/>
      <c r="M68" s="1596"/>
      <c r="N68" s="1596"/>
      <c r="O68" s="1596"/>
      <c r="P68" s="1596"/>
    </row>
    <row r="69" spans="2:22" x14ac:dyDescent="0.25">
      <c r="B69" s="1596"/>
      <c r="C69" s="1596"/>
      <c r="D69" s="1596"/>
      <c r="E69" s="1596"/>
      <c r="F69" s="1596"/>
      <c r="G69" s="1596"/>
      <c r="H69" s="1596"/>
      <c r="I69" s="1596"/>
      <c r="J69" s="1596"/>
      <c r="K69" s="1596"/>
      <c r="L69" s="1596"/>
      <c r="M69" s="1596"/>
      <c r="N69" s="1596"/>
      <c r="O69" s="1596"/>
      <c r="P69" s="1596"/>
    </row>
    <row r="70" spans="2:22" x14ac:dyDescent="0.25">
      <c r="B70" s="1596"/>
      <c r="C70" s="1596"/>
      <c r="D70" s="1596"/>
      <c r="E70" s="1596"/>
      <c r="F70" s="1596"/>
      <c r="G70" s="1596"/>
      <c r="H70" s="1596"/>
      <c r="I70" s="1596"/>
      <c r="J70" s="1596"/>
      <c r="K70" s="1596"/>
      <c r="L70" s="1596"/>
      <c r="M70" s="1596"/>
      <c r="N70" s="1596"/>
      <c r="O70" s="1596"/>
      <c r="P70" s="1596"/>
    </row>
    <row r="71" spans="2:22" x14ac:dyDescent="0.25">
      <c r="B71" s="1596"/>
      <c r="C71" s="1596"/>
      <c r="D71" s="1596"/>
      <c r="E71" s="1596"/>
      <c r="F71" s="1596"/>
      <c r="G71" s="1596"/>
      <c r="H71" s="1596"/>
      <c r="I71" s="1596"/>
      <c r="J71" s="1596"/>
      <c r="K71" s="1596"/>
      <c r="L71" s="1596"/>
      <c r="M71" s="1596"/>
      <c r="N71" s="1596"/>
      <c r="O71" s="1596"/>
      <c r="P71" s="1596"/>
    </row>
    <row r="72" spans="2:22" x14ac:dyDescent="0.25">
      <c r="B72" s="1596"/>
      <c r="C72" s="1596"/>
      <c r="D72" s="1596"/>
      <c r="E72" s="1596"/>
      <c r="F72" s="1596"/>
      <c r="G72" s="1596"/>
      <c r="H72" s="1596"/>
      <c r="I72" s="1596"/>
      <c r="J72" s="1596"/>
      <c r="K72" s="1596"/>
      <c r="L72" s="1596"/>
      <c r="M72" s="1596"/>
      <c r="N72" s="1596"/>
      <c r="O72" s="1596"/>
      <c r="P72" s="1596"/>
    </row>
    <row r="73" spans="2:22" x14ac:dyDescent="0.25">
      <c r="B73" s="1596"/>
      <c r="C73" s="1596"/>
      <c r="D73" s="1596"/>
      <c r="E73" s="1596"/>
      <c r="F73" s="1596"/>
      <c r="G73" s="1596"/>
      <c r="H73" s="1596"/>
      <c r="I73" s="1596"/>
      <c r="J73" s="1596"/>
      <c r="K73" s="1596"/>
      <c r="L73" s="1596"/>
      <c r="M73" s="1596"/>
      <c r="N73" s="1596"/>
      <c r="O73" s="1596"/>
      <c r="P73" s="1596"/>
    </row>
    <row r="74" spans="2:22" x14ac:dyDescent="0.25">
      <c r="B74" s="1596"/>
      <c r="C74" s="1596"/>
      <c r="D74" s="1596"/>
      <c r="E74" s="1596"/>
      <c r="F74" s="1596"/>
      <c r="G74" s="1596"/>
      <c r="H74" s="1596"/>
      <c r="I74" s="1596"/>
      <c r="J74" s="1596"/>
      <c r="K74" s="1596"/>
      <c r="L74" s="1596"/>
      <c r="M74" s="1596"/>
      <c r="N74" s="1596"/>
      <c r="O74" s="1596"/>
      <c r="P74" s="1596"/>
    </row>
    <row r="75" spans="2:22" x14ac:dyDescent="0.25">
      <c r="B75" s="1596"/>
      <c r="C75" s="1596"/>
      <c r="D75" s="1596"/>
      <c r="E75" s="1596"/>
      <c r="F75" s="1596"/>
      <c r="G75" s="1596"/>
      <c r="H75" s="1596"/>
      <c r="I75" s="1596"/>
      <c r="J75" s="1596"/>
      <c r="K75" s="1596"/>
      <c r="L75" s="1596"/>
      <c r="M75" s="1596"/>
      <c r="N75" s="1596"/>
      <c r="O75" s="1596"/>
      <c r="P75" s="1596"/>
    </row>
    <row r="76" spans="2:22" x14ac:dyDescent="0.25">
      <c r="B76" s="1596"/>
      <c r="C76" s="1596"/>
      <c r="D76" s="1596"/>
      <c r="E76" s="1596"/>
      <c r="F76" s="1596"/>
      <c r="G76" s="1596"/>
      <c r="H76" s="1596"/>
      <c r="I76" s="1596"/>
      <c r="J76" s="1596"/>
      <c r="K76" s="1596"/>
      <c r="L76" s="1596"/>
      <c r="M76" s="1596"/>
      <c r="N76" s="1596"/>
      <c r="O76" s="1596"/>
      <c r="P76" s="1596"/>
    </row>
    <row r="77" spans="2:22" x14ac:dyDescent="0.25">
      <c r="B77" s="1596"/>
      <c r="C77" s="1596"/>
      <c r="D77" s="1596"/>
      <c r="E77" s="1596"/>
      <c r="F77" s="1596"/>
      <c r="G77" s="1596"/>
      <c r="H77" s="1596"/>
      <c r="I77" s="1596"/>
      <c r="J77" s="1596"/>
      <c r="K77" s="1596"/>
      <c r="L77" s="1596"/>
      <c r="M77" s="1596"/>
      <c r="N77" s="1596"/>
      <c r="O77" s="1596"/>
      <c r="P77" s="1596"/>
    </row>
    <row r="78" spans="2:22" x14ac:dyDescent="0.25">
      <c r="B78" s="1596"/>
      <c r="C78" s="1596"/>
      <c r="D78" s="1596"/>
      <c r="E78" s="1596"/>
      <c r="F78" s="1596"/>
      <c r="G78" s="1596"/>
      <c r="H78" s="1596"/>
      <c r="I78" s="1596"/>
      <c r="J78" s="1596"/>
      <c r="K78" s="1596"/>
      <c r="L78" s="1596"/>
      <c r="M78" s="1596"/>
      <c r="N78" s="1596"/>
      <c r="O78" s="1596"/>
      <c r="P78" s="1596"/>
    </row>
    <row r="79" spans="2:22" x14ac:dyDescent="0.25">
      <c r="B79" s="1596"/>
      <c r="C79" s="1596"/>
      <c r="D79" s="1596"/>
      <c r="E79" s="1596"/>
      <c r="F79" s="1596"/>
      <c r="G79" s="1596"/>
      <c r="H79" s="1596"/>
      <c r="I79" s="1596"/>
      <c r="J79" s="1596"/>
      <c r="K79" s="1596"/>
      <c r="L79" s="1596"/>
      <c r="M79" s="1596"/>
      <c r="N79" s="1596"/>
      <c r="O79" s="1596"/>
      <c r="P79" s="1596"/>
    </row>
    <row r="80" spans="2:22" x14ac:dyDescent="0.25">
      <c r="B80" s="1596"/>
      <c r="C80" s="1596"/>
      <c r="D80" s="1596"/>
      <c r="E80" s="1596"/>
      <c r="F80" s="1596"/>
      <c r="G80" s="1596"/>
      <c r="H80" s="1596"/>
      <c r="I80" s="1596"/>
      <c r="J80" s="1596"/>
      <c r="K80" s="1596"/>
      <c r="L80" s="1596"/>
      <c r="M80" s="1596"/>
      <c r="N80" s="1596"/>
      <c r="O80" s="1596"/>
      <c r="P80" s="1596"/>
    </row>
    <row r="81" spans="2:16" x14ac:dyDescent="0.25">
      <c r="B81" s="1596"/>
      <c r="C81" s="1596"/>
      <c r="D81" s="1596"/>
      <c r="E81" s="1596"/>
      <c r="F81" s="1596"/>
      <c r="G81" s="1596"/>
      <c r="H81" s="1596"/>
      <c r="I81" s="1596"/>
      <c r="J81" s="1596"/>
      <c r="K81" s="1596"/>
      <c r="L81" s="1596"/>
      <c r="M81" s="1596"/>
      <c r="N81" s="1596"/>
      <c r="O81" s="1596"/>
      <c r="P81" s="1596"/>
    </row>
    <row r="82" spans="2:16" x14ac:dyDescent="0.25">
      <c r="B82" s="1596"/>
      <c r="C82" s="1596"/>
      <c r="D82" s="1596"/>
      <c r="E82" s="1596"/>
      <c r="F82" s="1596"/>
      <c r="G82" s="1596"/>
      <c r="H82" s="1596"/>
      <c r="I82" s="1596"/>
      <c r="J82" s="1596"/>
      <c r="K82" s="1596"/>
      <c r="L82" s="1596"/>
      <c r="M82" s="1596"/>
      <c r="N82" s="1596"/>
      <c r="O82" s="1596"/>
      <c r="P82" s="1596"/>
    </row>
    <row r="83" spans="2:16" x14ac:dyDescent="0.25">
      <c r="B83" s="1596"/>
      <c r="C83" s="1596"/>
      <c r="D83" s="1596"/>
      <c r="E83" s="1596"/>
      <c r="F83" s="1596"/>
      <c r="G83" s="1596"/>
      <c r="H83" s="1596"/>
      <c r="I83" s="1596"/>
      <c r="J83" s="1596"/>
      <c r="K83" s="1596"/>
      <c r="L83" s="1596"/>
      <c r="M83" s="1596"/>
      <c r="N83" s="1596"/>
      <c r="O83" s="1596"/>
      <c r="P83" s="1596"/>
    </row>
    <row r="84" spans="2:16" x14ac:dyDescent="0.25">
      <c r="B84" s="1596"/>
      <c r="C84" s="1596"/>
      <c r="D84" s="1596"/>
      <c r="E84" s="1596"/>
      <c r="F84" s="1596"/>
      <c r="G84" s="1596"/>
      <c r="H84" s="1596"/>
      <c r="I84" s="1596"/>
      <c r="J84" s="1596"/>
      <c r="K84" s="1596"/>
      <c r="L84" s="1596"/>
      <c r="M84" s="1596"/>
      <c r="N84" s="1596"/>
      <c r="O84" s="1596"/>
      <c r="P84" s="1596"/>
    </row>
  </sheetData>
  <mergeCells count="98">
    <mergeCell ref="B67:L67"/>
    <mergeCell ref="N67:P67"/>
    <mergeCell ref="Q67:S67"/>
    <mergeCell ref="B65:K65"/>
    <mergeCell ref="N65:P65"/>
    <mergeCell ref="Q65:S65"/>
    <mergeCell ref="B66:L66"/>
    <mergeCell ref="N66:P66"/>
    <mergeCell ref="Q66:S66"/>
    <mergeCell ref="B63:K63"/>
    <mergeCell ref="N63:P63"/>
    <mergeCell ref="Q63:S63"/>
    <mergeCell ref="B64:K64"/>
    <mergeCell ref="N64:P64"/>
    <mergeCell ref="Q64:S64"/>
    <mergeCell ref="B61:K61"/>
    <mergeCell ref="N61:P61"/>
    <mergeCell ref="Q61:S61"/>
    <mergeCell ref="B62:K62"/>
    <mergeCell ref="N62:P62"/>
    <mergeCell ref="Q62:S62"/>
    <mergeCell ref="B60:L60"/>
    <mergeCell ref="N60:P60"/>
    <mergeCell ref="Q60:S60"/>
    <mergeCell ref="U60:V60"/>
    <mergeCell ref="B27:K27"/>
    <mergeCell ref="B47:O47"/>
    <mergeCell ref="Q47:S47"/>
    <mergeCell ref="B48:V48"/>
    <mergeCell ref="S50:U50"/>
    <mergeCell ref="S51:U51"/>
    <mergeCell ref="S52:U52"/>
    <mergeCell ref="S56:U56"/>
    <mergeCell ref="S57:U57"/>
    <mergeCell ref="B59:L59"/>
    <mergeCell ref="M59:V59"/>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1:K11"/>
    <mergeCell ref="M11:V11"/>
    <mergeCell ref="B12:L12"/>
    <mergeCell ref="M12:V12"/>
    <mergeCell ref="B13:V13"/>
    <mergeCell ref="B14:K15"/>
    <mergeCell ref="L14:P14"/>
    <mergeCell ref="Q14:V14"/>
    <mergeCell ref="M15:P15"/>
    <mergeCell ref="Q15:S15"/>
    <mergeCell ref="T15:V15"/>
    <mergeCell ref="B16:K16"/>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pageMargins left="0.7" right="0.7" top="0.75" bottom="0.75" header="0.3" footer="0.3"/>
  <pageSetup paperSize="5" scale="55" orientation="landscape" horizontalDpi="4294967292"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93"/>
  <sheetViews>
    <sheetView view="pageBreakPreview" topLeftCell="A28" zoomScale="73" zoomScaleNormal="70" zoomScaleSheetLayoutView="100" workbookViewId="0">
      <selection activeCell="O48" sqref="O48"/>
    </sheetView>
  </sheetViews>
  <sheetFormatPr defaultColWidth="8.7265625" defaultRowHeight="12.5" x14ac:dyDescent="0.25"/>
  <cols>
    <col min="1" max="1" width="3.816406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4" style="341" customWidth="1"/>
    <col min="17" max="17" width="9" style="341" customWidth="1"/>
    <col min="18" max="18" width="8" style="341" customWidth="1"/>
    <col min="19" max="19" width="15.1796875" style="341" customWidth="1"/>
    <col min="20" max="20" width="24.4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965" t="s">
        <v>332</v>
      </c>
      <c r="T3" s="2966"/>
      <c r="U3" s="2653"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'Honor Non PNS'!B5:V5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1475"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1476"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1471" t="s">
        <v>251</v>
      </c>
      <c r="M8" s="2948" t="s">
        <v>95</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252</v>
      </c>
      <c r="M9" s="2868" t="s">
        <v>4</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'Honor Non PNS'!M10:V10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539</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941"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1470" t="s">
        <v>270</v>
      </c>
      <c r="M15" s="2945" t="s">
        <v>281</v>
      </c>
      <c r="N15" s="2943"/>
      <c r="O15" s="2943"/>
      <c r="P15" s="2946"/>
      <c r="Q15" s="2747" t="s">
        <v>270</v>
      </c>
      <c r="R15" s="2747"/>
      <c r="S15" s="2747"/>
      <c r="T15" s="2747" t="s">
        <v>281</v>
      </c>
      <c r="U15" s="2747"/>
      <c r="V15" s="2947"/>
      <c r="W15" s="520"/>
    </row>
    <row r="16" spans="2:24" ht="14.25" customHeight="1" x14ac:dyDescent="0.25">
      <c r="B16" s="2834" t="s">
        <v>14</v>
      </c>
      <c r="C16" s="2835"/>
      <c r="D16" s="2835"/>
      <c r="E16" s="2835"/>
      <c r="F16" s="2835"/>
      <c r="G16" s="2835"/>
      <c r="H16" s="2835"/>
      <c r="I16" s="2835"/>
      <c r="J16" s="2835"/>
      <c r="K16" s="2836"/>
      <c r="L16" s="734" t="s">
        <v>496</v>
      </c>
      <c r="M16" s="2507" t="str">
        <f>L16</f>
        <v>Persentase kendaraan dinas/operasional yang dipelihara</v>
      </c>
      <c r="N16" s="2508"/>
      <c r="O16" s="2508"/>
      <c r="P16" s="2886"/>
      <c r="Q16" s="2830">
        <v>1</v>
      </c>
      <c r="R16" s="2616"/>
      <c r="S16" s="2616"/>
      <c r="T16" s="2831">
        <f>Q16</f>
        <v>1</v>
      </c>
      <c r="U16" s="2832"/>
      <c r="V16" s="2833"/>
      <c r="W16" s="522"/>
      <c r="X16" s="523"/>
    </row>
    <row r="17" spans="2:22" ht="14" x14ac:dyDescent="0.25">
      <c r="B17" s="2834" t="s">
        <v>135</v>
      </c>
      <c r="C17" s="2835"/>
      <c r="D17" s="2835"/>
      <c r="E17" s="2835"/>
      <c r="F17" s="2835"/>
      <c r="G17" s="2835"/>
      <c r="H17" s="2835"/>
      <c r="I17" s="2835"/>
      <c r="J17" s="2835"/>
      <c r="K17" s="2836"/>
      <c r="L17" s="811" t="s">
        <v>430</v>
      </c>
      <c r="M17" s="2933" t="str">
        <f>L17</f>
        <v>Jumlah Dana Yang Dibutuhkan</v>
      </c>
      <c r="N17" s="2933"/>
      <c r="O17" s="2933"/>
      <c r="P17" s="2933"/>
      <c r="Q17" s="2934">
        <f>P28</f>
        <v>65652400</v>
      </c>
      <c r="R17" s="2935"/>
      <c r="S17" s="2936"/>
      <c r="T17" s="2937">
        <f>T28</f>
        <v>63085920</v>
      </c>
      <c r="U17" s="2937"/>
      <c r="V17" s="2938"/>
    </row>
    <row r="18" spans="2:22" ht="25" x14ac:dyDescent="0.25">
      <c r="B18" s="2834" t="s">
        <v>136</v>
      </c>
      <c r="C18" s="2835"/>
      <c r="D18" s="2835"/>
      <c r="E18" s="2835"/>
      <c r="F18" s="2835"/>
      <c r="G18" s="2835"/>
      <c r="H18" s="2835"/>
      <c r="I18" s="2835"/>
      <c r="J18" s="2835"/>
      <c r="K18" s="2836"/>
      <c r="L18" s="734" t="s">
        <v>497</v>
      </c>
      <c r="M18" s="2932" t="str">
        <f>L18</f>
        <v>Jumlah pemeliharaan kendaraan dinas/operasional yang dilaksanakan</v>
      </c>
      <c r="N18" s="2932"/>
      <c r="O18" s="2932"/>
      <c r="P18" s="2932"/>
      <c r="Q18" s="2616" t="s">
        <v>603</v>
      </c>
      <c r="R18" s="2616"/>
      <c r="S18" s="2616"/>
      <c r="T18" s="2616" t="str">
        <f>Q18</f>
        <v>48 kali</v>
      </c>
      <c r="U18" s="2616"/>
      <c r="V18" s="2837"/>
    </row>
    <row r="19" spans="2:22" ht="14" x14ac:dyDescent="0.25">
      <c r="B19" s="2834" t="s">
        <v>137</v>
      </c>
      <c r="C19" s="2835"/>
      <c r="D19" s="2835"/>
      <c r="E19" s="2835"/>
      <c r="F19" s="2835"/>
      <c r="G19" s="2835"/>
      <c r="H19" s="2835"/>
      <c r="I19" s="2835"/>
      <c r="J19" s="2835"/>
      <c r="K19" s="2836"/>
      <c r="L19" s="734" t="s">
        <v>495</v>
      </c>
      <c r="M19" s="2875" t="str">
        <f>L19</f>
        <v>Tingkat ketersediaan sarana dan prasarana</v>
      </c>
      <c r="N19" s="2875"/>
      <c r="O19" s="2875"/>
      <c r="P19" s="2875"/>
      <c r="Q19" s="2830">
        <v>1</v>
      </c>
      <c r="R19" s="2616"/>
      <c r="S19" s="2616"/>
      <c r="T19" s="2830">
        <f>Q19</f>
        <v>1</v>
      </c>
      <c r="U19" s="2616"/>
      <c r="V19" s="2837"/>
    </row>
    <row r="20" spans="2:22" ht="14.25" customHeight="1" x14ac:dyDescent="0.25">
      <c r="B20" s="2931" t="s">
        <v>333</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1466"/>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467" t="s">
        <v>122</v>
      </c>
      <c r="Q24" s="2690" t="s">
        <v>127</v>
      </c>
      <c r="R24" s="2693" t="s">
        <v>8</v>
      </c>
      <c r="S24" s="2693"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467"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1465"/>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1477" t="s">
        <v>7</v>
      </c>
      <c r="Q27" s="984">
        <v>7</v>
      </c>
      <c r="R27" s="984">
        <v>8</v>
      </c>
      <c r="S27" s="985">
        <v>9</v>
      </c>
      <c r="T27" s="986" t="s">
        <v>275</v>
      </c>
      <c r="U27" s="1468" t="s">
        <v>274</v>
      </c>
      <c r="V27" s="1109">
        <v>12</v>
      </c>
    </row>
    <row r="28" spans="2:22" ht="13" thickTop="1" x14ac:dyDescent="0.25">
      <c r="B28" s="700">
        <v>1</v>
      </c>
      <c r="C28" s="701" t="s">
        <v>239</v>
      </c>
      <c r="D28" s="701" t="s">
        <v>84</v>
      </c>
      <c r="E28" s="1244"/>
      <c r="F28" s="1245"/>
      <c r="G28" s="703">
        <v>5</v>
      </c>
      <c r="H28" s="703">
        <v>2</v>
      </c>
      <c r="I28" s="1245"/>
      <c r="J28" s="1245"/>
      <c r="K28" s="704"/>
      <c r="L28" s="1560" t="s">
        <v>54</v>
      </c>
      <c r="M28" s="1246"/>
      <c r="N28" s="1246"/>
      <c r="O28" s="1247"/>
      <c r="P28" s="1532">
        <f>P29</f>
        <v>65652400</v>
      </c>
      <c r="Q28" s="1246"/>
      <c r="R28" s="1246"/>
      <c r="S28" s="1247"/>
      <c r="T28" s="1532">
        <f>T29</f>
        <v>63085920</v>
      </c>
      <c r="U28" s="882">
        <f>SUM(T28)-P28</f>
        <v>-2566480</v>
      </c>
      <c r="V28" s="425"/>
    </row>
    <row r="29" spans="2:22" ht="25" x14ac:dyDescent="0.25">
      <c r="B29" s="700">
        <v>1</v>
      </c>
      <c r="C29" s="701" t="s">
        <v>239</v>
      </c>
      <c r="D29" s="701" t="s">
        <v>84</v>
      </c>
      <c r="E29" s="786" t="s">
        <v>87</v>
      </c>
      <c r="F29" s="704"/>
      <c r="G29" s="709"/>
      <c r="H29" s="709"/>
      <c r="I29" s="704"/>
      <c r="J29" s="704"/>
      <c r="K29" s="704"/>
      <c r="L29" s="1560" t="s">
        <v>93</v>
      </c>
      <c r="M29" s="754"/>
      <c r="N29" s="754"/>
      <c r="O29" s="755"/>
      <c r="P29" s="1534">
        <f>P30</f>
        <v>65652400</v>
      </c>
      <c r="Q29" s="754"/>
      <c r="R29" s="754"/>
      <c r="S29" s="755"/>
      <c r="T29" s="1534">
        <f>T30</f>
        <v>63085920</v>
      </c>
      <c r="U29" s="675"/>
      <c r="V29" s="761"/>
    </row>
    <row r="30" spans="2:22" ht="25" x14ac:dyDescent="0.25">
      <c r="B30" s="700">
        <v>1</v>
      </c>
      <c r="C30" s="701" t="s">
        <v>239</v>
      </c>
      <c r="D30" s="701" t="s">
        <v>84</v>
      </c>
      <c r="E30" s="786" t="s">
        <v>87</v>
      </c>
      <c r="F30" s="701">
        <v>24</v>
      </c>
      <c r="G30" s="709"/>
      <c r="H30" s="709"/>
      <c r="I30" s="704"/>
      <c r="J30" s="704"/>
      <c r="K30" s="701"/>
      <c r="L30" s="1464" t="s">
        <v>4</v>
      </c>
      <c r="M30" s="745"/>
      <c r="N30" s="745"/>
      <c r="O30" s="789"/>
      <c r="P30" s="753">
        <f>SUM(P32+P37)</f>
        <v>65652400</v>
      </c>
      <c r="Q30" s="745"/>
      <c r="R30" s="745"/>
      <c r="S30" s="789"/>
      <c r="T30" s="753">
        <f>SUM(T32+T37)</f>
        <v>63085920</v>
      </c>
      <c r="U30" s="756">
        <f>SUM(T30)-P30</f>
        <v>-2566480</v>
      </c>
      <c r="V30" s="761"/>
    </row>
    <row r="31" spans="2:22" ht="14" x14ac:dyDescent="0.25">
      <c r="B31" s="700"/>
      <c r="C31" s="701"/>
      <c r="D31" s="701"/>
      <c r="E31" s="786"/>
      <c r="F31" s="701"/>
      <c r="G31" s="709"/>
      <c r="H31" s="709"/>
      <c r="I31" s="704"/>
      <c r="J31" s="704"/>
      <c r="K31" s="701"/>
      <c r="L31" s="1561"/>
      <c r="M31" s="745"/>
      <c r="N31" s="745"/>
      <c r="O31" s="789"/>
      <c r="P31" s="1562"/>
      <c r="Q31" s="745"/>
      <c r="R31" s="745"/>
      <c r="S31" s="789"/>
      <c r="T31" s="1562"/>
      <c r="U31" s="756"/>
      <c r="V31" s="439"/>
    </row>
    <row r="32" spans="2:22" ht="20" customHeight="1" x14ac:dyDescent="0.25">
      <c r="B32" s="486">
        <v>1</v>
      </c>
      <c r="C32" s="487" t="s">
        <v>239</v>
      </c>
      <c r="D32" s="487" t="s">
        <v>84</v>
      </c>
      <c r="E32" s="1650" t="s">
        <v>87</v>
      </c>
      <c r="F32" s="487">
        <v>24</v>
      </c>
      <c r="G32" s="1716">
        <v>5</v>
      </c>
      <c r="H32" s="1716">
        <v>2</v>
      </c>
      <c r="I32" s="1717">
        <v>1</v>
      </c>
      <c r="J32" s="1717"/>
      <c r="K32" s="1717"/>
      <c r="L32" s="1718" t="s">
        <v>39</v>
      </c>
      <c r="M32" s="602"/>
      <c r="N32" s="1719"/>
      <c r="O32" s="1720"/>
      <c r="P32" s="1721">
        <f>P33</f>
        <v>1500000</v>
      </c>
      <c r="Q32" s="602"/>
      <c r="R32" s="808"/>
      <c r="S32" s="1563"/>
      <c r="T32" s="1188">
        <f>T33</f>
        <v>1500000</v>
      </c>
      <c r="U32" s="756"/>
      <c r="V32" s="439"/>
    </row>
    <row r="33" spans="2:22" ht="20" customHeight="1" x14ac:dyDescent="0.25">
      <c r="B33" s="486">
        <v>1</v>
      </c>
      <c r="C33" s="487" t="s">
        <v>239</v>
      </c>
      <c r="D33" s="487" t="s">
        <v>84</v>
      </c>
      <c r="E33" s="1650" t="s">
        <v>87</v>
      </c>
      <c r="F33" s="487">
        <v>24</v>
      </c>
      <c r="G33" s="1716">
        <v>5</v>
      </c>
      <c r="H33" s="1716">
        <v>2</v>
      </c>
      <c r="I33" s="1717">
        <v>1</v>
      </c>
      <c r="J33" s="1722" t="s">
        <v>84</v>
      </c>
      <c r="K33" s="1717"/>
      <c r="L33" s="1723" t="s">
        <v>96</v>
      </c>
      <c r="M33" s="602"/>
      <c r="N33" s="1724"/>
      <c r="O33" s="1725"/>
      <c r="P33" s="1721">
        <f>P34</f>
        <v>1500000</v>
      </c>
      <c r="Q33" s="602"/>
      <c r="R33" s="959"/>
      <c r="S33" s="1077"/>
      <c r="T33" s="1188">
        <f>T34</f>
        <v>1500000</v>
      </c>
      <c r="U33" s="756"/>
      <c r="V33" s="439"/>
    </row>
    <row r="34" spans="2:22" ht="20" customHeight="1" x14ac:dyDescent="0.25">
      <c r="B34" s="486">
        <v>1</v>
      </c>
      <c r="C34" s="487" t="s">
        <v>239</v>
      </c>
      <c r="D34" s="487" t="s">
        <v>84</v>
      </c>
      <c r="E34" s="1650" t="s">
        <v>87</v>
      </c>
      <c r="F34" s="487">
        <v>24</v>
      </c>
      <c r="G34" s="1716">
        <v>5</v>
      </c>
      <c r="H34" s="1716">
        <v>2</v>
      </c>
      <c r="I34" s="1717">
        <v>1</v>
      </c>
      <c r="J34" s="1722" t="s">
        <v>84</v>
      </c>
      <c r="K34" s="1722" t="s">
        <v>84</v>
      </c>
      <c r="L34" s="1726" t="s">
        <v>85</v>
      </c>
      <c r="M34" s="603"/>
      <c r="N34" s="1727"/>
      <c r="O34" s="1728"/>
      <c r="P34" s="1729">
        <f>SUM(P35:P35)</f>
        <v>1500000</v>
      </c>
      <c r="Q34" s="603"/>
      <c r="R34" s="1078"/>
      <c r="S34" s="960"/>
      <c r="T34" s="1564">
        <f>T35</f>
        <v>1500000</v>
      </c>
      <c r="U34" s="756"/>
      <c r="V34" s="439"/>
    </row>
    <row r="35" spans="2:22" ht="25" x14ac:dyDescent="0.25">
      <c r="B35" s="1730"/>
      <c r="C35" s="1722"/>
      <c r="D35" s="1722"/>
      <c r="E35" s="1731"/>
      <c r="F35" s="1722"/>
      <c r="G35" s="1717"/>
      <c r="H35" s="1717"/>
      <c r="I35" s="1716"/>
      <c r="J35" s="1732"/>
      <c r="K35" s="1722"/>
      <c r="L35" s="1733" t="s">
        <v>604</v>
      </c>
      <c r="M35" s="604">
        <v>6</v>
      </c>
      <c r="N35" s="605" t="s">
        <v>82</v>
      </c>
      <c r="O35" s="606">
        <v>250000</v>
      </c>
      <c r="P35" s="1734">
        <f>O35*M35</f>
        <v>1500000</v>
      </c>
      <c r="Q35" s="604">
        <v>6</v>
      </c>
      <c r="R35" s="605" t="s">
        <v>82</v>
      </c>
      <c r="S35" s="606">
        <v>250000</v>
      </c>
      <c r="T35" s="759">
        <f>S35*Q35</f>
        <v>1500000</v>
      </c>
      <c r="U35" s="756"/>
      <c r="V35" s="439"/>
    </row>
    <row r="36" spans="2:22" x14ac:dyDescent="0.25">
      <c r="B36" s="1730"/>
      <c r="C36" s="1722"/>
      <c r="D36" s="1722"/>
      <c r="E36" s="1731"/>
      <c r="F36" s="1722"/>
      <c r="G36" s="1717"/>
      <c r="H36" s="1717"/>
      <c r="I36" s="1735"/>
      <c r="J36" s="1736"/>
      <c r="K36" s="1722"/>
      <c r="L36" s="1737"/>
      <c r="M36" s="604"/>
      <c r="N36" s="1738"/>
      <c r="O36" s="1739"/>
      <c r="P36" s="1740"/>
      <c r="Q36" s="604"/>
      <c r="R36" s="605"/>
      <c r="S36" s="606"/>
      <c r="T36" s="610"/>
      <c r="U36" s="756"/>
      <c r="V36" s="439"/>
    </row>
    <row r="37" spans="2:22" ht="19.5" customHeight="1" x14ac:dyDescent="0.25">
      <c r="B37" s="486">
        <v>1</v>
      </c>
      <c r="C37" s="487" t="s">
        <v>239</v>
      </c>
      <c r="D37" s="487" t="s">
        <v>84</v>
      </c>
      <c r="E37" s="1650" t="s">
        <v>87</v>
      </c>
      <c r="F37" s="487">
        <v>24</v>
      </c>
      <c r="G37" s="473">
        <v>5</v>
      </c>
      <c r="H37" s="473">
        <v>2</v>
      </c>
      <c r="I37" s="489">
        <v>2</v>
      </c>
      <c r="J37" s="489"/>
      <c r="K37" s="489"/>
      <c r="L37" s="1741" t="s">
        <v>64</v>
      </c>
      <c r="M37" s="1742"/>
      <c r="N37" s="1743"/>
      <c r="O37" s="1744"/>
      <c r="P37" s="1651">
        <f>P46+P38</f>
        <v>64152400</v>
      </c>
      <c r="Q37" s="1565"/>
      <c r="R37" s="1566"/>
      <c r="S37" s="1567"/>
      <c r="T37" s="753">
        <f>SUM(T38+T46)</f>
        <v>61585920</v>
      </c>
      <c r="U37" s="756">
        <f>SUM(T37)-P37</f>
        <v>-2566480</v>
      </c>
      <c r="V37" s="761"/>
    </row>
    <row r="38" spans="2:22" ht="16.5" customHeight="1" x14ac:dyDescent="0.25">
      <c r="B38" s="486">
        <v>1</v>
      </c>
      <c r="C38" s="487" t="s">
        <v>239</v>
      </c>
      <c r="D38" s="487" t="s">
        <v>84</v>
      </c>
      <c r="E38" s="1650" t="s">
        <v>87</v>
      </c>
      <c r="F38" s="487">
        <v>24</v>
      </c>
      <c r="G38" s="473">
        <v>5</v>
      </c>
      <c r="H38" s="473">
        <v>2</v>
      </c>
      <c r="I38" s="489">
        <v>2</v>
      </c>
      <c r="J38" s="487" t="s">
        <v>84</v>
      </c>
      <c r="K38" s="487"/>
      <c r="L38" s="494" t="s">
        <v>55</v>
      </c>
      <c r="M38" s="1742"/>
      <c r="N38" s="1743"/>
      <c r="O38" s="1744"/>
      <c r="P38" s="1651">
        <f>P39</f>
        <v>42788800</v>
      </c>
      <c r="Q38" s="1565"/>
      <c r="R38" s="1566"/>
      <c r="S38" s="1567"/>
      <c r="T38" s="753">
        <f>T39</f>
        <v>42788800</v>
      </c>
      <c r="U38" s="756">
        <f>SUM(T38)-P38</f>
        <v>0</v>
      </c>
      <c r="V38" s="761"/>
    </row>
    <row r="39" spans="2:22" ht="23" customHeight="1" x14ac:dyDescent="0.25">
      <c r="B39" s="486">
        <v>1</v>
      </c>
      <c r="C39" s="487" t="s">
        <v>239</v>
      </c>
      <c r="D39" s="487" t="s">
        <v>84</v>
      </c>
      <c r="E39" s="1650" t="s">
        <v>87</v>
      </c>
      <c r="F39" s="487">
        <v>24</v>
      </c>
      <c r="G39" s="473">
        <v>5</v>
      </c>
      <c r="H39" s="473">
        <v>2</v>
      </c>
      <c r="I39" s="489">
        <v>2</v>
      </c>
      <c r="J39" s="487" t="s">
        <v>84</v>
      </c>
      <c r="K39" s="487" t="s">
        <v>86</v>
      </c>
      <c r="L39" s="607" t="s">
        <v>434</v>
      </c>
      <c r="M39" s="1742"/>
      <c r="N39" s="1743"/>
      <c r="O39" s="1744"/>
      <c r="P39" s="1745">
        <f>SUM(P40:P44)</f>
        <v>42788800</v>
      </c>
      <c r="Q39" s="1565"/>
      <c r="R39" s="1566"/>
      <c r="S39" s="1567"/>
      <c r="T39" s="749">
        <f>SUM(T40:T44)</f>
        <v>42788800</v>
      </c>
      <c r="U39" s="675"/>
      <c r="V39" s="761"/>
    </row>
    <row r="40" spans="2:22" ht="25" x14ac:dyDescent="0.25">
      <c r="B40" s="486"/>
      <c r="C40" s="487"/>
      <c r="D40" s="487"/>
      <c r="E40" s="1650"/>
      <c r="F40" s="487"/>
      <c r="G40" s="473"/>
      <c r="H40" s="473"/>
      <c r="I40" s="489"/>
      <c r="J40" s="489"/>
      <c r="K40" s="489"/>
      <c r="L40" s="1746" t="s">
        <v>703</v>
      </c>
      <c r="M40" s="594">
        <f>1*6*12*22</f>
        <v>1584</v>
      </c>
      <c r="N40" s="892" t="s">
        <v>438</v>
      </c>
      <c r="O40" s="608">
        <v>7000</v>
      </c>
      <c r="P40" s="1747">
        <f t="shared" ref="P40:P44" si="0">O40*M40</f>
        <v>11088000</v>
      </c>
      <c r="Q40" s="594">
        <v>1584</v>
      </c>
      <c r="R40" s="745" t="s">
        <v>438</v>
      </c>
      <c r="S40" s="608">
        <v>7000</v>
      </c>
      <c r="T40" s="759">
        <f t="shared" ref="T40:T44" si="1">S40*Q40</f>
        <v>11088000</v>
      </c>
      <c r="U40" s="756">
        <f>SUM(T40)-P40</f>
        <v>0</v>
      </c>
      <c r="V40" s="761"/>
    </row>
    <row r="41" spans="2:22" ht="25" x14ac:dyDescent="0.25">
      <c r="B41" s="486"/>
      <c r="C41" s="487"/>
      <c r="D41" s="487"/>
      <c r="E41" s="1650"/>
      <c r="F41" s="487"/>
      <c r="G41" s="473"/>
      <c r="H41" s="473"/>
      <c r="I41" s="489"/>
      <c r="J41" s="489"/>
      <c r="K41" s="489"/>
      <c r="L41" s="1748" t="s">
        <v>435</v>
      </c>
      <c r="M41" s="594">
        <f>1*6*12*26</f>
        <v>1872</v>
      </c>
      <c r="N41" s="892" t="s">
        <v>438</v>
      </c>
      <c r="O41" s="608">
        <v>6900</v>
      </c>
      <c r="P41" s="1747">
        <f t="shared" si="0"/>
        <v>12916800</v>
      </c>
      <c r="Q41" s="594">
        <v>1872</v>
      </c>
      <c r="R41" s="745" t="s">
        <v>438</v>
      </c>
      <c r="S41" s="608">
        <v>6900</v>
      </c>
      <c r="T41" s="759">
        <f t="shared" si="1"/>
        <v>12916800</v>
      </c>
      <c r="U41" s="756"/>
      <c r="V41" s="761"/>
    </row>
    <row r="42" spans="2:22" ht="25" x14ac:dyDescent="0.25">
      <c r="B42" s="486"/>
      <c r="C42" s="487"/>
      <c r="D42" s="487"/>
      <c r="E42" s="1650"/>
      <c r="F42" s="487"/>
      <c r="G42" s="473"/>
      <c r="H42" s="473"/>
      <c r="I42" s="489"/>
      <c r="J42" s="489"/>
      <c r="K42" s="489"/>
      <c r="L42" s="1748" t="s">
        <v>436</v>
      </c>
      <c r="M42" s="594">
        <f>1*6*12*22</f>
        <v>1584</v>
      </c>
      <c r="N42" s="892" t="s">
        <v>438</v>
      </c>
      <c r="O42" s="608">
        <v>7000</v>
      </c>
      <c r="P42" s="1747">
        <f t="shared" si="0"/>
        <v>11088000</v>
      </c>
      <c r="Q42" s="594">
        <v>1584</v>
      </c>
      <c r="R42" s="745" t="s">
        <v>438</v>
      </c>
      <c r="S42" s="608">
        <v>7000</v>
      </c>
      <c r="T42" s="759">
        <f t="shared" si="1"/>
        <v>11088000</v>
      </c>
      <c r="U42" s="756"/>
      <c r="V42" s="761"/>
    </row>
    <row r="43" spans="2:22" ht="33" customHeight="1" x14ac:dyDescent="0.25">
      <c r="B43" s="486"/>
      <c r="C43" s="487"/>
      <c r="D43" s="487"/>
      <c r="E43" s="1650"/>
      <c r="F43" s="487"/>
      <c r="G43" s="473"/>
      <c r="H43" s="473"/>
      <c r="I43" s="489"/>
      <c r="J43" s="489"/>
      <c r="K43" s="489"/>
      <c r="L43" s="1748" t="s">
        <v>605</v>
      </c>
      <c r="M43" s="594">
        <f>1*2*12*22</f>
        <v>528</v>
      </c>
      <c r="N43" s="892" t="s">
        <v>438</v>
      </c>
      <c r="O43" s="608">
        <v>7000</v>
      </c>
      <c r="P43" s="1747">
        <f t="shared" si="0"/>
        <v>3696000</v>
      </c>
      <c r="Q43" s="594">
        <v>528</v>
      </c>
      <c r="R43" s="745" t="s">
        <v>438</v>
      </c>
      <c r="S43" s="608">
        <v>7000</v>
      </c>
      <c r="T43" s="759">
        <f t="shared" si="1"/>
        <v>3696000</v>
      </c>
      <c r="U43" s="756">
        <f>SUM(T43)-P43</f>
        <v>0</v>
      </c>
      <c r="V43" s="761"/>
    </row>
    <row r="44" spans="2:22" ht="21" customHeight="1" x14ac:dyDescent="0.25">
      <c r="B44" s="486"/>
      <c r="C44" s="487"/>
      <c r="D44" s="487"/>
      <c r="E44" s="1650"/>
      <c r="F44" s="487"/>
      <c r="G44" s="473"/>
      <c r="H44" s="473"/>
      <c r="I44" s="489"/>
      <c r="J44" s="489"/>
      <c r="K44" s="489"/>
      <c r="L44" s="1748" t="s">
        <v>437</v>
      </c>
      <c r="M44" s="594">
        <v>1</v>
      </c>
      <c r="N44" s="892" t="s">
        <v>66</v>
      </c>
      <c r="O44" s="608">
        <v>4000000</v>
      </c>
      <c r="P44" s="1747">
        <f t="shared" si="0"/>
        <v>4000000</v>
      </c>
      <c r="Q44" s="594">
        <v>1</v>
      </c>
      <c r="R44" s="745" t="s">
        <v>66</v>
      </c>
      <c r="S44" s="608">
        <v>4000000</v>
      </c>
      <c r="T44" s="759">
        <f t="shared" si="1"/>
        <v>4000000</v>
      </c>
      <c r="U44" s="763"/>
      <c r="V44" s="762"/>
    </row>
    <row r="45" spans="2:22" x14ac:dyDescent="0.25">
      <c r="B45" s="486"/>
      <c r="C45" s="487"/>
      <c r="D45" s="487"/>
      <c r="E45" s="1650"/>
      <c r="F45" s="487"/>
      <c r="G45" s="473"/>
      <c r="H45" s="473"/>
      <c r="I45" s="489"/>
      <c r="J45" s="489"/>
      <c r="K45" s="489"/>
      <c r="L45" s="1741"/>
      <c r="M45" s="1742"/>
      <c r="N45" s="1743"/>
      <c r="O45" s="1744"/>
      <c r="P45" s="1651"/>
      <c r="Q45" s="1565"/>
      <c r="R45" s="1566"/>
      <c r="S45" s="1567"/>
      <c r="T45" s="753"/>
      <c r="U45" s="763"/>
      <c r="V45" s="762"/>
    </row>
    <row r="46" spans="2:22" ht="21" customHeight="1" x14ac:dyDescent="0.25">
      <c r="B46" s="486">
        <v>1</v>
      </c>
      <c r="C46" s="487" t="s">
        <v>239</v>
      </c>
      <c r="D46" s="487" t="s">
        <v>84</v>
      </c>
      <c r="E46" s="1650" t="s">
        <v>87</v>
      </c>
      <c r="F46" s="487">
        <v>24</v>
      </c>
      <c r="G46" s="473">
        <v>5</v>
      </c>
      <c r="H46" s="473">
        <v>2</v>
      </c>
      <c r="I46" s="489">
        <v>2</v>
      </c>
      <c r="J46" s="487" t="s">
        <v>101</v>
      </c>
      <c r="K46" s="489"/>
      <c r="L46" s="494" t="s">
        <v>81</v>
      </c>
      <c r="M46" s="1749"/>
      <c r="N46" s="1750"/>
      <c r="O46" s="477"/>
      <c r="P46" s="1651">
        <f>P47+P53+P50</f>
        <v>21363600</v>
      </c>
      <c r="Q46" s="1568"/>
      <c r="R46" s="1569"/>
      <c r="S46" s="746"/>
      <c r="T46" s="753">
        <f>SUM(T47+T50+T53)</f>
        <v>18797120</v>
      </c>
      <c r="U46" s="763">
        <f>SUM(T46)-P46</f>
        <v>-2566480</v>
      </c>
      <c r="V46" s="762"/>
    </row>
    <row r="47" spans="2:22" ht="21" customHeight="1" x14ac:dyDescent="0.25">
      <c r="B47" s="486">
        <v>1</v>
      </c>
      <c r="C47" s="487" t="s">
        <v>239</v>
      </c>
      <c r="D47" s="487" t="s">
        <v>84</v>
      </c>
      <c r="E47" s="1650" t="s">
        <v>87</v>
      </c>
      <c r="F47" s="487">
        <v>24</v>
      </c>
      <c r="G47" s="473">
        <v>5</v>
      </c>
      <c r="H47" s="473">
        <v>2</v>
      </c>
      <c r="I47" s="489">
        <v>2</v>
      </c>
      <c r="J47" s="487" t="s">
        <v>101</v>
      </c>
      <c r="K47" s="487" t="s">
        <v>87</v>
      </c>
      <c r="L47" s="607" t="s">
        <v>704</v>
      </c>
      <c r="M47" s="1751"/>
      <c r="N47" s="499"/>
      <c r="O47" s="477"/>
      <c r="P47" s="1745">
        <f>P48</f>
        <v>10132960</v>
      </c>
      <c r="Q47" s="594"/>
      <c r="R47" s="745"/>
      <c r="S47" s="1570"/>
      <c r="T47" s="749">
        <f>SUM(T48)</f>
        <v>7566480</v>
      </c>
      <c r="U47" s="763">
        <f>SUM(T47)-P47</f>
        <v>-2566480</v>
      </c>
      <c r="V47" s="762"/>
    </row>
    <row r="48" spans="2:22" ht="43.5" customHeight="1" x14ac:dyDescent="0.25">
      <c r="B48" s="486"/>
      <c r="C48" s="487"/>
      <c r="D48" s="487"/>
      <c r="E48" s="1650"/>
      <c r="F48" s="487"/>
      <c r="G48" s="473"/>
      <c r="H48" s="473"/>
      <c r="I48" s="489"/>
      <c r="J48" s="487"/>
      <c r="K48" s="487"/>
      <c r="L48" s="1746" t="s">
        <v>705</v>
      </c>
      <c r="M48" s="594">
        <v>1</v>
      </c>
      <c r="N48" s="892" t="s">
        <v>176</v>
      </c>
      <c r="O48" s="893">
        <v>10132960</v>
      </c>
      <c r="P48" s="1747">
        <f>O48*M48</f>
        <v>10132960</v>
      </c>
      <c r="Q48" s="594">
        <v>1</v>
      </c>
      <c r="R48" s="745" t="s">
        <v>176</v>
      </c>
      <c r="S48" s="608">
        <v>7566480</v>
      </c>
      <c r="T48" s="759">
        <f>S48*Q48</f>
        <v>7566480</v>
      </c>
      <c r="U48" s="763"/>
      <c r="V48" s="762"/>
    </row>
    <row r="49" spans="2:23" ht="11" customHeight="1" x14ac:dyDescent="0.25">
      <c r="B49" s="486"/>
      <c r="C49" s="487"/>
      <c r="D49" s="487"/>
      <c r="E49" s="1650"/>
      <c r="F49" s="487"/>
      <c r="G49" s="473"/>
      <c r="H49" s="473"/>
      <c r="I49" s="489"/>
      <c r="J49" s="489"/>
      <c r="K49" s="489"/>
      <c r="L49" s="1741"/>
      <c r="M49" s="1742"/>
      <c r="N49" s="1743"/>
      <c r="O49" s="1744"/>
      <c r="P49" s="1651"/>
      <c r="Q49" s="1565"/>
      <c r="R49" s="1566"/>
      <c r="S49" s="1571"/>
      <c r="T49" s="753"/>
      <c r="U49" s="763"/>
      <c r="V49" s="762"/>
    </row>
    <row r="50" spans="2:23" ht="21" customHeight="1" x14ac:dyDescent="0.25">
      <c r="B50" s="486">
        <v>1</v>
      </c>
      <c r="C50" s="487" t="s">
        <v>239</v>
      </c>
      <c r="D50" s="487" t="s">
        <v>84</v>
      </c>
      <c r="E50" s="1650" t="s">
        <v>87</v>
      </c>
      <c r="F50" s="487">
        <v>24</v>
      </c>
      <c r="G50" s="473">
        <v>5</v>
      </c>
      <c r="H50" s="473">
        <v>2</v>
      </c>
      <c r="I50" s="489">
        <v>2</v>
      </c>
      <c r="J50" s="487" t="s">
        <v>101</v>
      </c>
      <c r="K50" s="487" t="s">
        <v>97</v>
      </c>
      <c r="L50" s="607" t="s">
        <v>606</v>
      </c>
      <c r="M50" s="1742"/>
      <c r="N50" s="1743"/>
      <c r="O50" s="1744"/>
      <c r="P50" s="1745">
        <f>SUM(P51:P51)</f>
        <v>1367040</v>
      </c>
      <c r="Q50" s="1565"/>
      <c r="R50" s="1566"/>
      <c r="S50" s="1567"/>
      <c r="T50" s="749">
        <f>SUM(T51)</f>
        <v>1367040</v>
      </c>
      <c r="U50" s="763">
        <f>SUM(T50)-P50</f>
        <v>0</v>
      </c>
      <c r="V50" s="762"/>
    </row>
    <row r="51" spans="2:23" ht="19.5" customHeight="1" x14ac:dyDescent="0.25">
      <c r="B51" s="486"/>
      <c r="C51" s="487"/>
      <c r="D51" s="487"/>
      <c r="E51" s="1650"/>
      <c r="F51" s="487"/>
      <c r="G51" s="473"/>
      <c r="H51" s="473"/>
      <c r="I51" s="489"/>
      <c r="J51" s="489"/>
      <c r="K51" s="489"/>
      <c r="L51" s="1748" t="s">
        <v>607</v>
      </c>
      <c r="M51" s="594">
        <v>4</v>
      </c>
      <c r="N51" s="892" t="s">
        <v>608</v>
      </c>
      <c r="O51" s="608">
        <v>341760</v>
      </c>
      <c r="P51" s="1745">
        <f t="shared" ref="P51" si="2">O51*M51</f>
        <v>1367040</v>
      </c>
      <c r="Q51" s="594">
        <v>4</v>
      </c>
      <c r="R51" s="745" t="s">
        <v>608</v>
      </c>
      <c r="S51" s="608">
        <v>341760</v>
      </c>
      <c r="T51" s="759">
        <f>S51*Q51</f>
        <v>1367040</v>
      </c>
      <c r="U51" s="763"/>
      <c r="V51" s="762"/>
    </row>
    <row r="52" spans="2:23" ht="14.15" customHeight="1" x14ac:dyDescent="0.25">
      <c r="B52" s="486"/>
      <c r="C52" s="487"/>
      <c r="D52" s="487"/>
      <c r="E52" s="1650"/>
      <c r="F52" s="487"/>
      <c r="G52" s="473"/>
      <c r="H52" s="473"/>
      <c r="I52" s="489"/>
      <c r="J52" s="487"/>
      <c r="K52" s="487"/>
      <c r="L52" s="1752"/>
      <c r="M52" s="1751"/>
      <c r="N52" s="499"/>
      <c r="O52" s="477"/>
      <c r="P52" s="1745"/>
      <c r="Q52" s="594"/>
      <c r="R52" s="745"/>
      <c r="S52" s="746"/>
      <c r="T52" s="749"/>
      <c r="U52" s="763"/>
      <c r="V52" s="762"/>
    </row>
    <row r="53" spans="2:23" ht="18" customHeight="1" x14ac:dyDescent="0.25">
      <c r="B53" s="486">
        <v>1</v>
      </c>
      <c r="C53" s="487" t="s">
        <v>239</v>
      </c>
      <c r="D53" s="487" t="s">
        <v>84</v>
      </c>
      <c r="E53" s="1650" t="s">
        <v>87</v>
      </c>
      <c r="F53" s="487">
        <v>24</v>
      </c>
      <c r="G53" s="473">
        <v>5</v>
      </c>
      <c r="H53" s="473">
        <v>2</v>
      </c>
      <c r="I53" s="489">
        <v>2</v>
      </c>
      <c r="J53" s="487" t="s">
        <v>101</v>
      </c>
      <c r="K53" s="487" t="s">
        <v>101</v>
      </c>
      <c r="L53" s="1753" t="s">
        <v>165</v>
      </c>
      <c r="M53" s="1754"/>
      <c r="N53" s="499"/>
      <c r="O53" s="477"/>
      <c r="P53" s="1755">
        <f>SUM(P54:P55)</f>
        <v>9863600</v>
      </c>
      <c r="Q53" s="719"/>
      <c r="R53" s="745"/>
      <c r="S53" s="746"/>
      <c r="T53" s="759">
        <f>SUM(T54:T55)</f>
        <v>9863600</v>
      </c>
      <c r="U53" s="763">
        <f>SUM(T53)-P53</f>
        <v>0</v>
      </c>
      <c r="V53" s="762"/>
    </row>
    <row r="54" spans="2:23" ht="32.5" customHeight="1" x14ac:dyDescent="0.25">
      <c r="B54" s="486"/>
      <c r="C54" s="487"/>
      <c r="D54" s="487"/>
      <c r="E54" s="1650"/>
      <c r="F54" s="487"/>
      <c r="G54" s="473"/>
      <c r="H54" s="473"/>
      <c r="I54" s="489"/>
      <c r="J54" s="487"/>
      <c r="K54" s="487"/>
      <c r="L54" s="1756" t="s">
        <v>706</v>
      </c>
      <c r="M54" s="503">
        <v>1</v>
      </c>
      <c r="N54" s="892" t="s">
        <v>2</v>
      </c>
      <c r="O54" s="893">
        <v>8763600</v>
      </c>
      <c r="P54" s="1757">
        <f>M54*O54</f>
        <v>8763600</v>
      </c>
      <c r="Q54" s="719">
        <v>1</v>
      </c>
      <c r="R54" s="745" t="s">
        <v>2</v>
      </c>
      <c r="S54" s="746">
        <v>8763600</v>
      </c>
      <c r="T54" s="759">
        <f>S54*Q54</f>
        <v>8763600</v>
      </c>
      <c r="U54" s="763"/>
      <c r="V54" s="762"/>
    </row>
    <row r="55" spans="2:23" ht="25" x14ac:dyDescent="0.25">
      <c r="B55" s="486"/>
      <c r="C55" s="487"/>
      <c r="D55" s="487"/>
      <c r="E55" s="1650"/>
      <c r="F55" s="487"/>
      <c r="G55" s="473"/>
      <c r="H55" s="473"/>
      <c r="I55" s="489"/>
      <c r="J55" s="487"/>
      <c r="K55" s="487"/>
      <c r="L55" s="1756" t="s">
        <v>707</v>
      </c>
      <c r="M55" s="503">
        <v>1</v>
      </c>
      <c r="N55" s="892" t="s">
        <v>2</v>
      </c>
      <c r="O55" s="893">
        <v>1100000</v>
      </c>
      <c r="P55" s="1757">
        <f>M55*O55</f>
        <v>1100000</v>
      </c>
      <c r="Q55" s="719">
        <v>1</v>
      </c>
      <c r="R55" s="745" t="s">
        <v>2</v>
      </c>
      <c r="S55" s="746">
        <v>1100000</v>
      </c>
      <c r="T55" s="759">
        <f>S55*Q55</f>
        <v>1100000</v>
      </c>
      <c r="U55" s="763">
        <f>SUM(T55)-P55</f>
        <v>0</v>
      </c>
      <c r="V55" s="543"/>
    </row>
    <row r="56" spans="2:23" x14ac:dyDescent="0.25">
      <c r="B56" s="1572"/>
      <c r="C56" s="1573"/>
      <c r="D56" s="1573"/>
      <c r="E56" s="1574"/>
      <c r="F56" s="1574"/>
      <c r="G56" s="1575"/>
      <c r="H56" s="1575"/>
      <c r="I56" s="1576"/>
      <c r="J56" s="1573"/>
      <c r="K56" s="1573"/>
      <c r="L56" s="1577"/>
      <c r="M56" s="1578"/>
      <c r="N56" s="1578"/>
      <c r="O56" s="1579"/>
      <c r="P56" s="971"/>
      <c r="Q56" s="1578"/>
      <c r="R56" s="1578"/>
      <c r="S56" s="1579"/>
      <c r="T56" s="971"/>
      <c r="U56" s="1580"/>
      <c r="V56" s="765"/>
    </row>
    <row r="57" spans="2:23" ht="14.5" thickBot="1" x14ac:dyDescent="0.3">
      <c r="B57" s="2913" t="s">
        <v>15</v>
      </c>
      <c r="C57" s="2914"/>
      <c r="D57" s="2914"/>
      <c r="E57" s="2914"/>
      <c r="F57" s="2914"/>
      <c r="G57" s="2914"/>
      <c r="H57" s="2914"/>
      <c r="I57" s="2914"/>
      <c r="J57" s="2914"/>
      <c r="K57" s="2914"/>
      <c r="L57" s="2914"/>
      <c r="M57" s="2914"/>
      <c r="N57" s="2914"/>
      <c r="O57" s="2914"/>
      <c r="P57" s="1472">
        <f>P28</f>
        <v>65652400</v>
      </c>
      <c r="Q57" s="2915"/>
      <c r="R57" s="2916"/>
      <c r="S57" s="2917"/>
      <c r="T57" s="1473">
        <f>T28</f>
        <v>63085920</v>
      </c>
      <c r="U57" s="1581">
        <f>U28</f>
        <v>-2566480</v>
      </c>
      <c r="V57" s="543">
        <f>U57/P57*100</f>
        <v>-3.9091944848931646</v>
      </c>
    </row>
    <row r="58" spans="2:23" ht="13" thickTop="1" x14ac:dyDescent="0.25">
      <c r="B58" s="2918"/>
      <c r="C58" s="2919"/>
      <c r="D58" s="2919"/>
      <c r="E58" s="2919"/>
      <c r="F58" s="2919"/>
      <c r="G58" s="2919"/>
      <c r="H58" s="2919"/>
      <c r="I58" s="2919"/>
      <c r="J58" s="2919"/>
      <c r="K58" s="2919"/>
      <c r="L58" s="2919"/>
      <c r="M58" s="2919"/>
      <c r="N58" s="2919"/>
      <c r="O58" s="2919"/>
      <c r="P58" s="2919"/>
      <c r="Q58" s="2919"/>
      <c r="R58" s="2919"/>
      <c r="S58" s="2919"/>
      <c r="T58" s="2919"/>
      <c r="U58" s="2919"/>
      <c r="V58" s="2920"/>
    </row>
    <row r="59" spans="2:23" ht="12.75" customHeight="1" x14ac:dyDescent="0.25">
      <c r="B59" s="466"/>
      <c r="C59" s="1466"/>
      <c r="D59" s="1466"/>
      <c r="E59" s="1466"/>
      <c r="F59" s="1466"/>
      <c r="G59" s="1466"/>
      <c r="H59" s="1466"/>
      <c r="I59" s="1466"/>
      <c r="J59" s="1466"/>
      <c r="K59" s="1466"/>
      <c r="L59" s="396"/>
      <c r="M59" s="344"/>
      <c r="N59" s="344"/>
      <c r="O59" s="344"/>
      <c r="P59" s="344"/>
      <c r="Q59" s="1466"/>
      <c r="R59" s="344"/>
      <c r="S59" s="2921" t="str">
        <f>'Honor Non PNS'!S71:U71</f>
        <v>Banda Aceh,               2020</v>
      </c>
      <c r="T59" s="2921"/>
      <c r="U59" s="2921"/>
      <c r="V59" s="936"/>
      <c r="W59" s="100"/>
    </row>
    <row r="60" spans="2:23" x14ac:dyDescent="0.25">
      <c r="B60" s="466"/>
      <c r="C60" s="1466"/>
      <c r="D60" s="1466"/>
      <c r="E60" s="1466"/>
      <c r="F60" s="1466"/>
      <c r="G60" s="1466"/>
      <c r="H60" s="1466"/>
      <c r="I60" s="1466"/>
      <c r="J60" s="1466"/>
      <c r="K60" s="1466"/>
      <c r="L60" s="1474" t="str">
        <f>'Honor Non PNS'!L72</f>
        <v>Mengesahkan,</v>
      </c>
      <c r="M60" s="344"/>
      <c r="N60" s="344"/>
      <c r="O60" s="344"/>
      <c r="P60" s="344"/>
      <c r="Q60" s="1466"/>
      <c r="R60" s="344"/>
      <c r="S60" s="2922" t="str">
        <f>'Honor Non PNS'!S72:U72</f>
        <v>Pengguna Anggaran</v>
      </c>
      <c r="T60" s="2922"/>
      <c r="U60" s="2922"/>
      <c r="V60" s="397"/>
      <c r="W60" s="22"/>
    </row>
    <row r="61" spans="2:23" ht="12.75" customHeight="1" x14ac:dyDescent="0.25">
      <c r="B61" s="466"/>
      <c r="C61" s="1466"/>
      <c r="D61" s="1466"/>
      <c r="E61" s="1466"/>
      <c r="F61" s="1466"/>
      <c r="G61" s="1466"/>
      <c r="H61" s="1466"/>
      <c r="I61" s="1466"/>
      <c r="J61" s="1466"/>
      <c r="K61" s="1466"/>
      <c r="L61" s="1474" t="str">
        <f>'Honor Non PNS'!L73</f>
        <v>Pejabat Pengelola Keuangan Daerah</v>
      </c>
      <c r="M61" s="344"/>
      <c r="N61" s="344"/>
      <c r="O61" s="344"/>
      <c r="P61" s="344"/>
      <c r="Q61" s="1466"/>
      <c r="R61" s="344"/>
      <c r="S61" s="2922" t="str">
        <f>'Honor Non PNS'!S73:U73</f>
        <v xml:space="preserve"> Satuan Kerja Perangkat Daerah </v>
      </c>
      <c r="T61" s="2922"/>
      <c r="U61" s="2922"/>
      <c r="V61" s="397"/>
      <c r="W61" s="22"/>
    </row>
    <row r="62" spans="2:23" x14ac:dyDescent="0.25">
      <c r="B62" s="466"/>
      <c r="C62" s="1466"/>
      <c r="D62" s="1466"/>
      <c r="E62" s="1466"/>
      <c r="F62" s="1466"/>
      <c r="G62" s="1466"/>
      <c r="H62" s="1466"/>
      <c r="I62" s="1466"/>
      <c r="J62" s="1466"/>
      <c r="K62" s="1466"/>
      <c r="L62" s="394"/>
      <c r="M62" s="344"/>
      <c r="N62" s="344"/>
      <c r="O62" s="344"/>
      <c r="P62" s="344"/>
      <c r="Q62" s="1466"/>
      <c r="R62" s="344"/>
      <c r="S62" s="937"/>
      <c r="T62" s="938"/>
      <c r="U62" s="938"/>
      <c r="V62" s="939"/>
      <c r="W62" s="102"/>
    </row>
    <row r="63" spans="2:23" x14ac:dyDescent="0.25">
      <c r="B63" s="466"/>
      <c r="C63" s="1466"/>
      <c r="D63" s="1466"/>
      <c r="E63" s="1466"/>
      <c r="F63" s="1466"/>
      <c r="G63" s="1466"/>
      <c r="H63" s="1466"/>
      <c r="I63" s="1466"/>
      <c r="J63" s="1466"/>
      <c r="K63" s="1466"/>
      <c r="L63" s="394"/>
      <c r="M63" s="344"/>
      <c r="N63" s="344"/>
      <c r="O63" s="344"/>
      <c r="P63" s="344"/>
      <c r="Q63" s="1466"/>
      <c r="R63" s="344"/>
      <c r="S63" s="937"/>
      <c r="T63" s="937"/>
      <c r="U63" s="937"/>
      <c r="V63" s="940"/>
      <c r="W63" s="103"/>
    </row>
    <row r="64" spans="2:23" x14ac:dyDescent="0.25">
      <c r="B64" s="466"/>
      <c r="C64" s="1466"/>
      <c r="D64" s="1466"/>
      <c r="E64" s="1466"/>
      <c r="F64" s="1466"/>
      <c r="G64" s="1466"/>
      <c r="H64" s="1466"/>
      <c r="I64" s="1466"/>
      <c r="J64" s="1466"/>
      <c r="K64" s="1466"/>
      <c r="L64" s="941"/>
      <c r="M64" s="344"/>
      <c r="N64" s="344"/>
      <c r="O64" s="344"/>
      <c r="P64" s="344"/>
      <c r="Q64" s="1466"/>
      <c r="R64" s="344"/>
      <c r="S64" s="937"/>
      <c r="T64" s="938"/>
      <c r="U64" s="938"/>
      <c r="V64" s="939"/>
      <c r="W64" s="102"/>
    </row>
    <row r="65" spans="2:23" ht="14" x14ac:dyDescent="0.25">
      <c r="B65" s="466"/>
      <c r="C65" s="1466"/>
      <c r="D65" s="1466"/>
      <c r="E65" s="1466"/>
      <c r="F65" s="1466"/>
      <c r="G65" s="1466"/>
      <c r="H65" s="1466"/>
      <c r="I65" s="1466"/>
      <c r="J65" s="1466"/>
      <c r="K65" s="1466"/>
      <c r="L65" s="942" t="str">
        <f>'Honor Non PNS'!L77</f>
        <v>M. Iqbal Rokan, S.STP.</v>
      </c>
      <c r="M65" s="344"/>
      <c r="N65" s="344"/>
      <c r="O65" s="344"/>
      <c r="P65" s="344"/>
      <c r="Q65" s="1466"/>
      <c r="R65" s="344"/>
      <c r="S65" s="2923" t="str">
        <f>'Honor Non PNS'!S77:U77</f>
        <v>Bustami, SH</v>
      </c>
      <c r="T65" s="2923"/>
      <c r="U65" s="2923"/>
      <c r="V65" s="400"/>
      <c r="W65" s="104"/>
    </row>
    <row r="66" spans="2:23" x14ac:dyDescent="0.25">
      <c r="B66" s="466"/>
      <c r="C66" s="1466"/>
      <c r="D66" s="1466"/>
      <c r="E66" s="1466"/>
      <c r="F66" s="1466"/>
      <c r="G66" s="1466"/>
      <c r="H66" s="1466"/>
      <c r="I66" s="1466"/>
      <c r="J66" s="1466"/>
      <c r="K66" s="1466"/>
      <c r="L66" s="1474" t="str">
        <f>'Honor Non PNS'!L78</f>
        <v>Nip. 19780505 199810 1 001</v>
      </c>
      <c r="M66" s="344"/>
      <c r="N66" s="344"/>
      <c r="O66" s="344"/>
      <c r="P66" s="344"/>
      <c r="Q66" s="1466"/>
      <c r="R66" s="344"/>
      <c r="S66" s="2922" t="str">
        <f>'Honor Non PNS'!S78:U78</f>
        <v>Pembina Utama Muda / Nip. 196308241987031004</v>
      </c>
      <c r="T66" s="2922"/>
      <c r="U66" s="2922"/>
      <c r="V66" s="397"/>
      <c r="W66" s="22"/>
    </row>
    <row r="67" spans="2:23" x14ac:dyDescent="0.25">
      <c r="B67" s="466"/>
      <c r="C67" s="1466"/>
      <c r="D67" s="1466"/>
      <c r="E67" s="1466"/>
      <c r="F67" s="1466"/>
      <c r="G67" s="1466"/>
      <c r="H67" s="1466"/>
      <c r="I67" s="1466"/>
      <c r="J67" s="1466"/>
      <c r="K67" s="1466"/>
      <c r="L67" s="1474"/>
      <c r="M67" s="344"/>
      <c r="N67" s="344"/>
      <c r="O67" s="344"/>
      <c r="P67" s="344"/>
      <c r="Q67" s="1466"/>
      <c r="R67" s="344"/>
      <c r="S67" s="1474"/>
      <c r="T67" s="1474"/>
      <c r="U67" s="1474"/>
      <c r="V67" s="943"/>
      <c r="W67" s="21"/>
    </row>
    <row r="68" spans="2:23" ht="14.25" customHeight="1" x14ac:dyDescent="0.25">
      <c r="B68" s="2705" t="s">
        <v>286</v>
      </c>
      <c r="C68" s="2706"/>
      <c r="D68" s="2706"/>
      <c r="E68" s="2706"/>
      <c r="F68" s="2706"/>
      <c r="G68" s="2706"/>
      <c r="H68" s="2706"/>
      <c r="I68" s="2706"/>
      <c r="J68" s="2706"/>
      <c r="K68" s="2706"/>
      <c r="L68" s="2706"/>
      <c r="M68" s="2707" t="s">
        <v>145</v>
      </c>
      <c r="N68" s="2708"/>
      <c r="O68" s="2708"/>
      <c r="P68" s="2708"/>
      <c r="Q68" s="2708"/>
      <c r="R68" s="2708"/>
      <c r="S68" s="2708"/>
      <c r="T68" s="2708"/>
      <c r="U68" s="2708"/>
      <c r="V68" s="2709"/>
    </row>
    <row r="69" spans="2:23" ht="14.25" customHeight="1" x14ac:dyDescent="0.25">
      <c r="B69" s="2893"/>
      <c r="C69" s="2894"/>
      <c r="D69" s="2894"/>
      <c r="E69" s="2894"/>
      <c r="F69" s="2894"/>
      <c r="G69" s="2894"/>
      <c r="H69" s="2894"/>
      <c r="I69" s="2894"/>
      <c r="J69" s="2894"/>
      <c r="K69" s="2894"/>
      <c r="L69" s="2895"/>
      <c r="M69" s="1470" t="s">
        <v>142</v>
      </c>
      <c r="N69" s="2747"/>
      <c r="O69" s="2747"/>
      <c r="P69" s="2747"/>
      <c r="Q69" s="2746" t="s">
        <v>143</v>
      </c>
      <c r="R69" s="2746"/>
      <c r="S69" s="2746"/>
      <c r="T69" s="1469" t="s">
        <v>144</v>
      </c>
      <c r="U69" s="2746" t="s">
        <v>146</v>
      </c>
      <c r="V69" s="2748"/>
    </row>
    <row r="70" spans="2:23" ht="14.25" customHeight="1" x14ac:dyDescent="0.25">
      <c r="B70" s="2907" t="s">
        <v>293</v>
      </c>
      <c r="C70" s="2908"/>
      <c r="D70" s="2908"/>
      <c r="E70" s="2908"/>
      <c r="F70" s="2908"/>
      <c r="G70" s="2908"/>
      <c r="H70" s="2908"/>
      <c r="I70" s="2908"/>
      <c r="J70" s="2908"/>
      <c r="K70" s="2908"/>
      <c r="L70" s="944">
        <v>0</v>
      </c>
      <c r="M70" s="945">
        <v>1</v>
      </c>
      <c r="N70" s="2896" t="str">
        <f>'Honor Non PNS'!N82:P82</f>
        <v>Weri, SE. MA</v>
      </c>
      <c r="O70" s="2897"/>
      <c r="P70" s="2897"/>
      <c r="Q70" s="2898" t="str">
        <f>'Honor Non PNS'!Q82:S82</f>
        <v>19640525 198903 1 026</v>
      </c>
      <c r="R70" s="2563"/>
      <c r="S70" s="2564"/>
      <c r="T70" s="946" t="s">
        <v>302</v>
      </c>
      <c r="U70" s="947" t="s">
        <v>287</v>
      </c>
      <c r="V70" s="451"/>
    </row>
    <row r="71" spans="2:23" ht="14" x14ac:dyDescent="0.25">
      <c r="B71" s="2907" t="s">
        <v>294</v>
      </c>
      <c r="C71" s="2908"/>
      <c r="D71" s="2908"/>
      <c r="E71" s="2908"/>
      <c r="F71" s="2908"/>
      <c r="G71" s="2908"/>
      <c r="H71" s="2908"/>
      <c r="I71" s="2908"/>
      <c r="J71" s="2908"/>
      <c r="K71" s="2908"/>
      <c r="L71" s="944">
        <v>0</v>
      </c>
      <c r="M71" s="945">
        <v>2</v>
      </c>
      <c r="N71" s="2909" t="str">
        <f>'Honor Non PNS'!N83:P83</f>
        <v>Azmi, SH</v>
      </c>
      <c r="O71" s="2706"/>
      <c r="P71" s="2706"/>
      <c r="Q71" s="2898" t="str">
        <f>'Honor Non PNS'!Q83:S83</f>
        <v>19680824 199903 1 004</v>
      </c>
      <c r="R71" s="2563"/>
      <c r="S71" s="2564"/>
      <c r="T71" s="946" t="s">
        <v>303</v>
      </c>
      <c r="U71" s="450"/>
      <c r="V71" s="948" t="s">
        <v>128</v>
      </c>
    </row>
    <row r="72" spans="2:23" ht="14" x14ac:dyDescent="0.25">
      <c r="B72" s="2907" t="s">
        <v>295</v>
      </c>
      <c r="C72" s="2908"/>
      <c r="D72" s="2908"/>
      <c r="E72" s="2908"/>
      <c r="F72" s="2908"/>
      <c r="G72" s="2908"/>
      <c r="H72" s="2908"/>
      <c r="I72" s="2908"/>
      <c r="J72" s="2908"/>
      <c r="K72" s="2908"/>
      <c r="L72" s="944">
        <v>0</v>
      </c>
      <c r="M72" s="949">
        <v>3</v>
      </c>
      <c r="N72" s="2909" t="str">
        <f>'Honor Non PNS'!N84:P84</f>
        <v>Muhammad Syaifuddin Ambia, ST, MT</v>
      </c>
      <c r="O72" s="2706"/>
      <c r="P72" s="2706"/>
      <c r="Q72" s="2898" t="str">
        <f>'Honor Non PNS'!Q84:S84</f>
        <v>19741010 200604 1 003</v>
      </c>
      <c r="R72" s="2563"/>
      <c r="S72" s="2564"/>
      <c r="T72" s="946" t="s">
        <v>304</v>
      </c>
      <c r="U72" s="950" t="s">
        <v>292</v>
      </c>
      <c r="V72" s="451"/>
    </row>
    <row r="73" spans="2:23" ht="15" customHeight="1" x14ac:dyDescent="0.25">
      <c r="B73" s="2907" t="s">
        <v>296</v>
      </c>
      <c r="C73" s="2908"/>
      <c r="D73" s="2908"/>
      <c r="E73" s="2908"/>
      <c r="F73" s="2908"/>
      <c r="G73" s="2908"/>
      <c r="H73" s="2908"/>
      <c r="I73" s="2908"/>
      <c r="J73" s="2908"/>
      <c r="K73" s="2908"/>
      <c r="L73" s="944">
        <v>0</v>
      </c>
      <c r="M73" s="945">
        <v>4</v>
      </c>
      <c r="N73" s="2909" t="str">
        <f>'Honor Non PNS'!N85:P85</f>
        <v>Basri, SE, M.Si</v>
      </c>
      <c r="O73" s="2706"/>
      <c r="P73" s="2706"/>
      <c r="Q73" s="2898" t="str">
        <f>'Honor Non PNS'!Q85:S85</f>
        <v>19691213 199403 1 002</v>
      </c>
      <c r="R73" s="2563"/>
      <c r="S73" s="2564"/>
      <c r="T73" s="946" t="s">
        <v>305</v>
      </c>
      <c r="U73" s="450"/>
      <c r="V73" s="948" t="s">
        <v>288</v>
      </c>
    </row>
    <row r="74" spans="2:23" ht="14" x14ac:dyDescent="0.25">
      <c r="B74" s="2907" t="s">
        <v>297</v>
      </c>
      <c r="C74" s="2908"/>
      <c r="D74" s="2908"/>
      <c r="E74" s="2908"/>
      <c r="F74" s="2908"/>
      <c r="G74" s="2908"/>
      <c r="H74" s="2908"/>
      <c r="I74" s="2908"/>
      <c r="J74" s="2908"/>
      <c r="K74" s="2908"/>
      <c r="L74" s="951">
        <f>SUM(L70:L73)</f>
        <v>0</v>
      </c>
      <c r="M74" s="952">
        <v>5</v>
      </c>
      <c r="N74" s="2909" t="str">
        <f>'Honor Non PNS'!N86:P86</f>
        <v>Dewi Shinta Reza, SE. Ak</v>
      </c>
      <c r="O74" s="2706"/>
      <c r="P74" s="2706"/>
      <c r="Q74" s="2898" t="str">
        <f>'Honor Non PNS'!Q86:S86</f>
        <v>19750630 200212 2 003</v>
      </c>
      <c r="R74" s="2563"/>
      <c r="S74" s="2564"/>
      <c r="T74" s="946" t="s">
        <v>306</v>
      </c>
      <c r="U74" s="950" t="s">
        <v>289</v>
      </c>
      <c r="V74" s="451"/>
    </row>
    <row r="75" spans="2:23" ht="13.5" customHeight="1" x14ac:dyDescent="0.25">
      <c r="B75" s="2893"/>
      <c r="C75" s="2894"/>
      <c r="D75" s="2894"/>
      <c r="E75" s="2894"/>
      <c r="F75" s="2894"/>
      <c r="G75" s="2894"/>
      <c r="H75" s="2894"/>
      <c r="I75" s="2894"/>
      <c r="J75" s="2894"/>
      <c r="K75" s="2894"/>
      <c r="L75" s="2895"/>
      <c r="M75" s="952">
        <v>6</v>
      </c>
      <c r="N75" s="2896" t="str">
        <f>'Honor Non PNS'!N87:P87</f>
        <v>Harisman, S.STP, M.Ec.Dev</v>
      </c>
      <c r="O75" s="2897"/>
      <c r="P75" s="2897"/>
      <c r="Q75" s="2898" t="str">
        <f>'Honor Non PNS'!Q87:S87</f>
        <v>19830101 200112 1 003</v>
      </c>
      <c r="R75" s="2563"/>
      <c r="S75" s="2564"/>
      <c r="T75" s="946" t="s">
        <v>307</v>
      </c>
      <c r="U75" s="450"/>
      <c r="V75" s="948" t="s">
        <v>290</v>
      </c>
    </row>
    <row r="76" spans="2:23" ht="14.5" thickBot="1" x14ac:dyDescent="0.3">
      <c r="B76" s="2899"/>
      <c r="C76" s="2900"/>
      <c r="D76" s="2900"/>
      <c r="E76" s="2900"/>
      <c r="F76" s="2900"/>
      <c r="G76" s="2900"/>
      <c r="H76" s="2900"/>
      <c r="I76" s="2900"/>
      <c r="J76" s="2900"/>
      <c r="K76" s="2900"/>
      <c r="L76" s="2901"/>
      <c r="M76" s="953">
        <v>7</v>
      </c>
      <c r="N76" s="2902" t="str">
        <f>'Honor Non PNS'!N88:P88</f>
        <v>Alriandi, S.STP, M.Si</v>
      </c>
      <c r="O76" s="2903"/>
      <c r="P76" s="2903"/>
      <c r="Q76" s="2904" t="str">
        <f>'Honor Non PNS'!Q88:S88</f>
        <v>19830308 200112 1 001</v>
      </c>
      <c r="R76" s="2905"/>
      <c r="S76" s="2906"/>
      <c r="T76" s="954" t="s">
        <v>308</v>
      </c>
      <c r="U76" s="955" t="s">
        <v>291</v>
      </c>
      <c r="V76" s="956"/>
    </row>
    <row r="77" spans="2:23" ht="13" thickTop="1" x14ac:dyDescent="0.25">
      <c r="B77" s="342"/>
      <c r="C77" s="342"/>
      <c r="D77" s="342"/>
      <c r="E77" s="342"/>
      <c r="F77" s="342"/>
      <c r="G77" s="342"/>
      <c r="H77" s="342"/>
      <c r="I77" s="342"/>
      <c r="J77" s="342"/>
      <c r="K77" s="342"/>
      <c r="L77" s="342"/>
      <c r="M77" s="342"/>
      <c r="N77" s="342"/>
      <c r="O77" s="342"/>
      <c r="P77" s="342"/>
    </row>
    <row r="78" spans="2:23" x14ac:dyDescent="0.25">
      <c r="B78" s="342"/>
      <c r="C78" s="342"/>
      <c r="D78" s="342"/>
      <c r="E78" s="342"/>
      <c r="F78" s="342"/>
      <c r="G78" s="342"/>
      <c r="H78" s="342"/>
      <c r="I78" s="342"/>
      <c r="J78" s="342"/>
      <c r="K78" s="342"/>
      <c r="L78" s="342"/>
      <c r="M78" s="342"/>
      <c r="N78" s="342"/>
      <c r="O78" s="342"/>
      <c r="P78" s="342"/>
    </row>
    <row r="79" spans="2:23" x14ac:dyDescent="0.25">
      <c r="B79" s="342"/>
      <c r="C79" s="342"/>
      <c r="D79" s="342"/>
      <c r="E79" s="342"/>
      <c r="F79" s="342"/>
      <c r="G79" s="342"/>
      <c r="H79" s="342"/>
      <c r="I79" s="342"/>
      <c r="J79" s="342"/>
      <c r="K79" s="342"/>
      <c r="L79" s="342"/>
      <c r="M79" s="342"/>
      <c r="N79" s="342"/>
      <c r="O79" s="342"/>
      <c r="P79" s="342"/>
    </row>
    <row r="80" spans="2:23" x14ac:dyDescent="0.25">
      <c r="B80" s="342"/>
      <c r="C80" s="342"/>
      <c r="D80" s="342"/>
      <c r="E80" s="342"/>
      <c r="F80" s="342"/>
      <c r="G80" s="342"/>
      <c r="H80" s="342"/>
      <c r="I80" s="342"/>
      <c r="J80" s="342"/>
      <c r="K80" s="342"/>
      <c r="L80" s="342"/>
      <c r="M80" s="342"/>
      <c r="N80" s="342"/>
      <c r="O80" s="342"/>
      <c r="P80" s="342"/>
    </row>
    <row r="81" spans="2:16" x14ac:dyDescent="0.25">
      <c r="B81" s="342"/>
      <c r="C81" s="342"/>
      <c r="D81" s="342"/>
      <c r="E81" s="342"/>
      <c r="F81" s="342"/>
      <c r="G81" s="342"/>
      <c r="H81" s="342"/>
      <c r="I81" s="342"/>
      <c r="J81" s="342"/>
      <c r="K81" s="342"/>
      <c r="L81" s="342"/>
      <c r="M81" s="342"/>
      <c r="N81" s="342"/>
      <c r="O81" s="342"/>
      <c r="P81" s="342"/>
    </row>
    <row r="82" spans="2:16" x14ac:dyDescent="0.25">
      <c r="B82" s="342"/>
      <c r="C82" s="342"/>
      <c r="D82" s="342"/>
      <c r="E82" s="342"/>
      <c r="F82" s="342"/>
      <c r="G82" s="342"/>
      <c r="H82" s="342"/>
      <c r="I82" s="342"/>
      <c r="J82" s="342"/>
      <c r="K82" s="342"/>
      <c r="L82" s="342"/>
      <c r="M82" s="342"/>
      <c r="N82" s="342"/>
      <c r="O82" s="342"/>
      <c r="P82" s="342"/>
    </row>
    <row r="83" spans="2:16" x14ac:dyDescent="0.25">
      <c r="B83" s="342"/>
      <c r="C83" s="342"/>
      <c r="D83" s="342"/>
      <c r="E83" s="342"/>
      <c r="F83" s="342"/>
      <c r="G83" s="342"/>
      <c r="H83" s="342"/>
      <c r="I83" s="342"/>
      <c r="J83" s="342"/>
      <c r="K83" s="342"/>
      <c r="L83" s="342"/>
      <c r="M83" s="342"/>
      <c r="N83" s="342"/>
      <c r="O83" s="342"/>
      <c r="P83" s="342"/>
    </row>
    <row r="84" spans="2:16" x14ac:dyDescent="0.25">
      <c r="B84" s="342"/>
      <c r="C84" s="342"/>
      <c r="D84" s="342"/>
      <c r="E84" s="342"/>
      <c r="F84" s="342"/>
      <c r="G84" s="342"/>
      <c r="H84" s="342"/>
      <c r="I84" s="342"/>
      <c r="J84" s="342"/>
      <c r="K84" s="342"/>
      <c r="L84" s="342"/>
      <c r="M84" s="342"/>
      <c r="N84" s="342"/>
      <c r="O84" s="342"/>
      <c r="P84" s="342"/>
    </row>
    <row r="85" spans="2:16" x14ac:dyDescent="0.25">
      <c r="B85" s="342"/>
      <c r="C85" s="342"/>
      <c r="D85" s="342"/>
      <c r="E85" s="342"/>
      <c r="F85" s="342"/>
      <c r="G85" s="342"/>
      <c r="H85" s="342"/>
      <c r="I85" s="342"/>
      <c r="J85" s="342"/>
      <c r="K85" s="342"/>
      <c r="L85" s="342"/>
      <c r="M85" s="342"/>
      <c r="N85" s="342"/>
      <c r="O85" s="342"/>
      <c r="P85" s="342"/>
    </row>
    <row r="86" spans="2:16" x14ac:dyDescent="0.25">
      <c r="B86" s="342"/>
      <c r="C86" s="342"/>
      <c r="D86" s="342"/>
      <c r="E86" s="342"/>
      <c r="F86" s="342"/>
      <c r="G86" s="342"/>
      <c r="H86" s="342"/>
      <c r="I86" s="342"/>
      <c r="J86" s="342"/>
      <c r="K86" s="342"/>
      <c r="L86" s="342"/>
      <c r="M86" s="342"/>
      <c r="N86" s="342"/>
      <c r="O86" s="342"/>
      <c r="P86" s="342"/>
    </row>
    <row r="87" spans="2:16" x14ac:dyDescent="0.25">
      <c r="B87" s="342"/>
      <c r="C87" s="342"/>
      <c r="D87" s="342"/>
      <c r="E87" s="342"/>
      <c r="F87" s="342"/>
      <c r="G87" s="342"/>
      <c r="H87" s="342"/>
      <c r="I87" s="342"/>
      <c r="J87" s="342"/>
      <c r="K87" s="342"/>
      <c r="L87" s="342"/>
      <c r="M87" s="342"/>
      <c r="N87" s="342"/>
      <c r="O87" s="342"/>
      <c r="P87" s="342"/>
    </row>
    <row r="88" spans="2:16" x14ac:dyDescent="0.25">
      <c r="B88" s="342"/>
      <c r="C88" s="342"/>
      <c r="D88" s="342"/>
      <c r="E88" s="342"/>
      <c r="F88" s="342"/>
      <c r="G88" s="342"/>
      <c r="H88" s="342"/>
      <c r="I88" s="342"/>
      <c r="J88" s="342"/>
      <c r="K88" s="342"/>
      <c r="L88" s="342"/>
      <c r="M88" s="342"/>
      <c r="N88" s="342"/>
      <c r="O88" s="342"/>
      <c r="P88" s="342"/>
    </row>
    <row r="89" spans="2:16" x14ac:dyDescent="0.25">
      <c r="B89" s="342"/>
      <c r="C89" s="342"/>
      <c r="D89" s="342"/>
      <c r="E89" s="342"/>
      <c r="F89" s="342"/>
      <c r="G89" s="342"/>
      <c r="H89" s="342"/>
      <c r="I89" s="342"/>
      <c r="J89" s="342"/>
      <c r="K89" s="342"/>
      <c r="L89" s="342"/>
      <c r="M89" s="342"/>
      <c r="N89" s="342"/>
      <c r="O89" s="342"/>
      <c r="P89" s="342"/>
    </row>
    <row r="90" spans="2:16" x14ac:dyDescent="0.25">
      <c r="B90" s="342"/>
      <c r="C90" s="342"/>
      <c r="D90" s="342"/>
      <c r="E90" s="342"/>
      <c r="F90" s="342"/>
      <c r="G90" s="342"/>
      <c r="H90" s="342"/>
      <c r="I90" s="342"/>
      <c r="J90" s="342"/>
      <c r="K90" s="342"/>
      <c r="L90" s="342"/>
      <c r="M90" s="342"/>
      <c r="N90" s="342"/>
      <c r="O90" s="342"/>
      <c r="P90" s="342"/>
    </row>
    <row r="91" spans="2:16" x14ac:dyDescent="0.25">
      <c r="B91" s="342"/>
      <c r="C91" s="342"/>
      <c r="D91" s="342"/>
      <c r="E91" s="342"/>
      <c r="F91" s="342"/>
      <c r="G91" s="342"/>
      <c r="H91" s="342"/>
      <c r="I91" s="342"/>
      <c r="J91" s="342"/>
      <c r="K91" s="342"/>
      <c r="L91" s="342"/>
      <c r="M91" s="342"/>
      <c r="N91" s="342"/>
      <c r="O91" s="342"/>
      <c r="P91" s="342"/>
    </row>
    <row r="92" spans="2:16" x14ac:dyDescent="0.25">
      <c r="B92" s="342"/>
      <c r="C92" s="342"/>
      <c r="D92" s="342"/>
      <c r="E92" s="342"/>
      <c r="F92" s="342"/>
      <c r="G92" s="342"/>
      <c r="H92" s="342"/>
      <c r="I92" s="342"/>
      <c r="J92" s="342"/>
      <c r="K92" s="342"/>
      <c r="L92" s="342"/>
      <c r="M92" s="342"/>
      <c r="N92" s="342"/>
      <c r="O92" s="342"/>
      <c r="P92" s="342"/>
    </row>
    <row r="93" spans="2:16" x14ac:dyDescent="0.25">
      <c r="B93" s="342"/>
      <c r="C93" s="342"/>
      <c r="D93" s="342"/>
      <c r="E93" s="342"/>
      <c r="F93" s="342"/>
      <c r="G93" s="342"/>
      <c r="H93" s="342"/>
      <c r="I93" s="342"/>
      <c r="J93" s="342"/>
      <c r="K93" s="342"/>
      <c r="L93" s="342"/>
      <c r="M93" s="342"/>
      <c r="N93" s="342"/>
      <c r="O93" s="342"/>
      <c r="P93"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68:L68"/>
    <mergeCell ref="M68:V68"/>
    <mergeCell ref="B27:K27"/>
    <mergeCell ref="B57:O57"/>
    <mergeCell ref="Q57:S57"/>
    <mergeCell ref="B58:V58"/>
    <mergeCell ref="S59:U59"/>
    <mergeCell ref="S60:U60"/>
    <mergeCell ref="S61:U61"/>
    <mergeCell ref="S65:U65"/>
    <mergeCell ref="S66:U66"/>
    <mergeCell ref="B69:L69"/>
    <mergeCell ref="N69:P69"/>
    <mergeCell ref="Q69:S69"/>
    <mergeCell ref="U69:V69"/>
    <mergeCell ref="B70:K70"/>
    <mergeCell ref="N70:P70"/>
    <mergeCell ref="Q70:S70"/>
    <mergeCell ref="B71:K71"/>
    <mergeCell ref="N71:P71"/>
    <mergeCell ref="Q71:S71"/>
    <mergeCell ref="B72:K72"/>
    <mergeCell ref="N72:P72"/>
    <mergeCell ref="Q72:S72"/>
    <mergeCell ref="B73:K73"/>
    <mergeCell ref="N73:P73"/>
    <mergeCell ref="Q73:S73"/>
    <mergeCell ref="B74:K74"/>
    <mergeCell ref="N74:P74"/>
    <mergeCell ref="Q74:S74"/>
    <mergeCell ref="B75:L75"/>
    <mergeCell ref="N75:P75"/>
    <mergeCell ref="Q75:S75"/>
    <mergeCell ref="B76:L76"/>
    <mergeCell ref="N76:P76"/>
    <mergeCell ref="Q76:S76"/>
  </mergeCells>
  <pageMargins left="0.511811023622047" right="1.0255905510000001" top="0.511811023622047" bottom="0.47244094488188998" header="0.31496062992126" footer="0.31496062992126"/>
  <pageSetup paperSize="5" scale="72" orientation="landscape" horizontalDpi="4294967293" verticalDpi="4294967293" r:id="rId1"/>
  <rowBreaks count="1" manualBreakCount="1">
    <brk id="42" min="1" max="2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82"/>
  <sheetViews>
    <sheetView view="pageBreakPreview" topLeftCell="A17" zoomScale="72" zoomScaleNormal="70" zoomScaleSheetLayoutView="100" workbookViewId="0">
      <selection activeCell="P32" sqref="P32"/>
    </sheetView>
  </sheetViews>
  <sheetFormatPr defaultColWidth="8.7265625" defaultRowHeight="12.5" x14ac:dyDescent="0.25"/>
  <cols>
    <col min="1" max="1" width="4.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54296875" style="341" customWidth="1"/>
    <col min="17" max="17" width="9" style="341" customWidth="1"/>
    <col min="18" max="18" width="8" style="341" customWidth="1"/>
    <col min="19" max="19" width="15.1796875" style="341" customWidth="1"/>
    <col min="20" max="20" width="24.4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331</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'Pemel Kend Dinas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251</v>
      </c>
      <c r="M8" s="2862" t="s">
        <v>95</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253</v>
      </c>
      <c r="M9" s="2866" t="s">
        <v>166</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'Pemel Kend Dinas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5" t="s">
        <v>500</v>
      </c>
      <c r="M16" s="2827" t="str">
        <f>L16</f>
        <v>Persentase peralatan gedung kantor yang dipelihara</v>
      </c>
      <c r="N16" s="2828"/>
      <c r="O16" s="2828"/>
      <c r="P16" s="2829"/>
      <c r="Q16" s="2821">
        <v>1</v>
      </c>
      <c r="R16" s="2822"/>
      <c r="S16" s="2822"/>
      <c r="T16" s="2872">
        <f>Q16</f>
        <v>1</v>
      </c>
      <c r="U16" s="2873"/>
      <c r="V16" s="2874"/>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181879130</v>
      </c>
      <c r="R17" s="2840"/>
      <c r="S17" s="2841"/>
      <c r="T17" s="2842">
        <f>T28</f>
        <v>21879130</v>
      </c>
      <c r="U17" s="2842"/>
      <c r="V17" s="2843"/>
    </row>
    <row r="18" spans="2:22" ht="13" customHeight="1" x14ac:dyDescent="0.3">
      <c r="B18" s="2817" t="s">
        <v>136</v>
      </c>
      <c r="C18" s="2818"/>
      <c r="D18" s="2818"/>
      <c r="E18" s="2818"/>
      <c r="F18" s="2818"/>
      <c r="G18" s="2818"/>
      <c r="H18" s="2818"/>
      <c r="I18" s="2818"/>
      <c r="J18" s="2818"/>
      <c r="K18" s="2819"/>
      <c r="L18" s="525" t="s">
        <v>501</v>
      </c>
      <c r="M18" s="2820" t="str">
        <f>L18</f>
        <v>Jumlah pemeliharaan peralatan gedung kantor yang dilaksanakan</v>
      </c>
      <c r="N18" s="2820"/>
      <c r="O18" s="2820"/>
      <c r="P18" s="2820"/>
      <c r="Q18" s="2822" t="s">
        <v>609</v>
      </c>
      <c r="R18" s="2822"/>
      <c r="S18" s="2822"/>
      <c r="T18" s="2822" t="str">
        <f>Q18</f>
        <v>20 kali</v>
      </c>
      <c r="U18" s="2822"/>
      <c r="V18" s="2823"/>
    </row>
    <row r="19" spans="2:22" ht="14" x14ac:dyDescent="0.3">
      <c r="B19" s="2817" t="s">
        <v>137</v>
      </c>
      <c r="C19" s="2818"/>
      <c r="D19" s="2818"/>
      <c r="E19" s="2818"/>
      <c r="F19" s="2818"/>
      <c r="G19" s="2818"/>
      <c r="H19" s="2818"/>
      <c r="I19" s="2818"/>
      <c r="J19" s="2818"/>
      <c r="K19" s="2819"/>
      <c r="L19" s="521" t="s">
        <v>495</v>
      </c>
      <c r="M19" s="2820" t="str">
        <f>L19</f>
        <v>Tingkat ketersediaan sarana dan prasarana</v>
      </c>
      <c r="N19" s="2820"/>
      <c r="O19" s="2820"/>
      <c r="P19" s="2820"/>
      <c r="Q19" s="2821">
        <v>1</v>
      </c>
      <c r="R19" s="2822"/>
      <c r="S19" s="2822"/>
      <c r="T19" s="2821">
        <f>Q19</f>
        <v>1</v>
      </c>
      <c r="U19" s="2822"/>
      <c r="V19" s="2823"/>
    </row>
    <row r="20" spans="2:22" ht="14.25" customHeight="1" x14ac:dyDescent="0.3">
      <c r="B20" s="2824" t="s">
        <v>335</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735">
        <v>1</v>
      </c>
      <c r="C28" s="736" t="s">
        <v>239</v>
      </c>
      <c r="D28" s="736" t="s">
        <v>84</v>
      </c>
      <c r="E28" s="766"/>
      <c r="F28" s="740"/>
      <c r="G28" s="742">
        <v>5</v>
      </c>
      <c r="H28" s="742">
        <v>2</v>
      </c>
      <c r="I28" s="740"/>
      <c r="J28" s="740"/>
      <c r="K28" s="740"/>
      <c r="L28" s="705" t="s">
        <v>54</v>
      </c>
      <c r="M28" s="729"/>
      <c r="N28" s="729"/>
      <c r="O28" s="730"/>
      <c r="P28" s="779">
        <f>P29</f>
        <v>181879130</v>
      </c>
      <c r="Q28" s="729"/>
      <c r="R28" s="729"/>
      <c r="S28" s="730"/>
      <c r="T28" s="779">
        <f>T29</f>
        <v>21879130</v>
      </c>
      <c r="U28" s="526">
        <f>SUM(T28)-P28</f>
        <v>-160000000</v>
      </c>
      <c r="V28" s="782"/>
    </row>
    <row r="29" spans="2:22" x14ac:dyDescent="0.25">
      <c r="B29" s="735">
        <v>1</v>
      </c>
      <c r="C29" s="736" t="s">
        <v>239</v>
      </c>
      <c r="D29" s="736" t="s">
        <v>84</v>
      </c>
      <c r="E29" s="757" t="s">
        <v>87</v>
      </c>
      <c r="F29" s="740"/>
      <c r="G29" s="742"/>
      <c r="H29" s="742"/>
      <c r="I29" s="740"/>
      <c r="J29" s="740"/>
      <c r="K29" s="740"/>
      <c r="L29" s="767" t="s">
        <v>93</v>
      </c>
      <c r="M29" s="768"/>
      <c r="N29" s="706"/>
      <c r="O29" s="707"/>
      <c r="P29" s="780">
        <f>P30</f>
        <v>181879130</v>
      </c>
      <c r="Q29" s="768"/>
      <c r="R29" s="706"/>
      <c r="S29" s="707"/>
      <c r="T29" s="780">
        <f>T30</f>
        <v>21879130</v>
      </c>
      <c r="U29" s="760"/>
      <c r="V29" s="761"/>
    </row>
    <row r="30" spans="2:22" ht="25" x14ac:dyDescent="0.25">
      <c r="B30" s="700">
        <v>1</v>
      </c>
      <c r="C30" s="701" t="s">
        <v>239</v>
      </c>
      <c r="D30" s="701" t="s">
        <v>84</v>
      </c>
      <c r="E30" s="786" t="s">
        <v>87</v>
      </c>
      <c r="F30" s="701">
        <v>28</v>
      </c>
      <c r="G30" s="709"/>
      <c r="H30" s="709"/>
      <c r="I30" s="704"/>
      <c r="J30" s="704"/>
      <c r="K30" s="701"/>
      <c r="L30" s="758" t="s">
        <v>610</v>
      </c>
      <c r="M30" s="769"/>
      <c r="N30" s="787"/>
      <c r="O30" s="787"/>
      <c r="P30" s="788">
        <f>P32</f>
        <v>181879130</v>
      </c>
      <c r="Q30" s="769"/>
      <c r="R30" s="787"/>
      <c r="S30" s="787"/>
      <c r="T30" s="788">
        <f>T32</f>
        <v>21879130</v>
      </c>
      <c r="U30" s="756"/>
      <c r="V30" s="643"/>
    </row>
    <row r="31" spans="2:22" x14ac:dyDescent="0.25">
      <c r="B31" s="735"/>
      <c r="C31" s="736"/>
      <c r="D31" s="736"/>
      <c r="E31" s="757"/>
      <c r="F31" s="736"/>
      <c r="G31" s="742"/>
      <c r="H31" s="742"/>
      <c r="I31" s="740"/>
      <c r="J31" s="740"/>
      <c r="K31" s="736"/>
      <c r="L31" s="770"/>
      <c r="M31" s="768"/>
      <c r="N31" s="707"/>
      <c r="O31" s="771"/>
      <c r="P31" s="781"/>
      <c r="Q31" s="768"/>
      <c r="R31" s="707"/>
      <c r="S31" s="771"/>
      <c r="T31" s="781"/>
      <c r="U31" s="756"/>
      <c r="V31" s="439"/>
    </row>
    <row r="32" spans="2:22" x14ac:dyDescent="0.25">
      <c r="B32" s="486">
        <v>1</v>
      </c>
      <c r="C32" s="487" t="s">
        <v>239</v>
      </c>
      <c r="D32" s="487" t="s">
        <v>84</v>
      </c>
      <c r="E32" s="1650" t="s">
        <v>87</v>
      </c>
      <c r="F32" s="487">
        <v>28</v>
      </c>
      <c r="G32" s="473">
        <v>5</v>
      </c>
      <c r="H32" s="473">
        <v>2</v>
      </c>
      <c r="I32" s="489">
        <v>2</v>
      </c>
      <c r="J32" s="489"/>
      <c r="K32" s="489"/>
      <c r="L32" s="494" t="s">
        <v>64</v>
      </c>
      <c r="M32" s="498"/>
      <c r="N32" s="500"/>
      <c r="O32" s="1683"/>
      <c r="P32" s="547">
        <f>P33</f>
        <v>181879130</v>
      </c>
      <c r="Q32" s="498"/>
      <c r="R32" s="714"/>
      <c r="S32" s="772"/>
      <c r="T32" s="780">
        <f>T33</f>
        <v>21879130</v>
      </c>
      <c r="U32" s="760"/>
      <c r="V32" s="761"/>
    </row>
    <row r="33" spans="2:23" x14ac:dyDescent="0.25">
      <c r="B33" s="486">
        <v>1</v>
      </c>
      <c r="C33" s="487" t="s">
        <v>239</v>
      </c>
      <c r="D33" s="487" t="s">
        <v>84</v>
      </c>
      <c r="E33" s="1650" t="s">
        <v>87</v>
      </c>
      <c r="F33" s="487">
        <v>28</v>
      </c>
      <c r="G33" s="473">
        <v>5</v>
      </c>
      <c r="H33" s="473">
        <v>2</v>
      </c>
      <c r="I33" s="489">
        <v>2</v>
      </c>
      <c r="J33" s="487">
        <v>20</v>
      </c>
      <c r="K33" s="489"/>
      <c r="L33" s="1758" t="s">
        <v>159</v>
      </c>
      <c r="M33" s="498"/>
      <c r="N33" s="1684"/>
      <c r="O33" s="1685"/>
      <c r="P33" s="547">
        <f>P34</f>
        <v>181879130</v>
      </c>
      <c r="Q33" s="498"/>
      <c r="R33" s="773"/>
      <c r="S33" s="774"/>
      <c r="T33" s="780">
        <f>T34</f>
        <v>21879130</v>
      </c>
      <c r="U33" s="528">
        <f>SUM(T33)-P33</f>
        <v>-160000000</v>
      </c>
      <c r="V33" s="764"/>
    </row>
    <row r="34" spans="2:23" x14ac:dyDescent="0.25">
      <c r="B34" s="486">
        <v>1</v>
      </c>
      <c r="C34" s="487" t="s">
        <v>239</v>
      </c>
      <c r="D34" s="487" t="s">
        <v>84</v>
      </c>
      <c r="E34" s="1650" t="s">
        <v>87</v>
      </c>
      <c r="F34" s="487">
        <v>28</v>
      </c>
      <c r="G34" s="473">
        <v>5</v>
      </c>
      <c r="H34" s="473">
        <v>2</v>
      </c>
      <c r="I34" s="489">
        <v>2</v>
      </c>
      <c r="J34" s="487">
        <v>20</v>
      </c>
      <c r="K34" s="487">
        <v>13</v>
      </c>
      <c r="L34" s="1759" t="s">
        <v>194</v>
      </c>
      <c r="M34" s="498"/>
      <c r="N34" s="500"/>
      <c r="O34" s="1683"/>
      <c r="P34" s="548">
        <f>SUM(P35:P44)</f>
        <v>181879130</v>
      </c>
      <c r="Q34" s="498"/>
      <c r="R34" s="714"/>
      <c r="S34" s="772"/>
      <c r="T34" s="781">
        <f>SUM(T35:T43)</f>
        <v>21879130</v>
      </c>
      <c r="U34" s="528">
        <f>SUM(T34)-P34</f>
        <v>-160000000</v>
      </c>
      <c r="V34" s="764"/>
    </row>
    <row r="35" spans="2:23" x14ac:dyDescent="0.25">
      <c r="B35" s="486"/>
      <c r="C35" s="489"/>
      <c r="D35" s="489"/>
      <c r="E35" s="473"/>
      <c r="F35" s="473"/>
      <c r="G35" s="473"/>
      <c r="H35" s="473"/>
      <c r="I35" s="473"/>
      <c r="J35" s="473"/>
      <c r="K35" s="618"/>
      <c r="L35" s="1760" t="s">
        <v>1025</v>
      </c>
      <c r="M35" s="613">
        <v>1</v>
      </c>
      <c r="N35" s="1761" t="s">
        <v>716</v>
      </c>
      <c r="O35" s="669">
        <v>160000000</v>
      </c>
      <c r="P35" s="548">
        <f>O35*M35</f>
        <v>160000000</v>
      </c>
      <c r="Q35" s="1775">
        <v>14</v>
      </c>
      <c r="R35" s="775" t="s">
        <v>578</v>
      </c>
      <c r="S35" s="776">
        <v>280320</v>
      </c>
      <c r="T35" s="781">
        <f>S35*Q35</f>
        <v>3924480</v>
      </c>
      <c r="U35" s="783"/>
      <c r="V35" s="764"/>
    </row>
    <row r="36" spans="2:23" x14ac:dyDescent="0.25">
      <c r="B36" s="486"/>
      <c r="C36" s="489"/>
      <c r="D36" s="489"/>
      <c r="E36" s="473"/>
      <c r="F36" s="473"/>
      <c r="G36" s="473"/>
      <c r="H36" s="473"/>
      <c r="I36" s="473"/>
      <c r="J36" s="473"/>
      <c r="K36" s="618"/>
      <c r="L36" s="1760" t="s">
        <v>619</v>
      </c>
      <c r="M36" s="613">
        <v>14</v>
      </c>
      <c r="N36" s="1761" t="s">
        <v>578</v>
      </c>
      <c r="O36" s="669">
        <v>280320</v>
      </c>
      <c r="P36" s="548">
        <f>O36*M36</f>
        <v>3924480</v>
      </c>
      <c r="Q36" s="1776">
        <v>10</v>
      </c>
      <c r="R36" s="777" t="s">
        <v>578</v>
      </c>
      <c r="S36" s="778">
        <v>256000</v>
      </c>
      <c r="T36" s="781">
        <f t="shared" ref="T36:T43" si="0">S36*Q36</f>
        <v>2560000</v>
      </c>
      <c r="U36" s="783"/>
      <c r="V36" s="764"/>
    </row>
    <row r="37" spans="2:23" x14ac:dyDescent="0.25">
      <c r="B37" s="486"/>
      <c r="C37" s="489"/>
      <c r="D37" s="489"/>
      <c r="E37" s="473"/>
      <c r="F37" s="473"/>
      <c r="G37" s="473"/>
      <c r="H37" s="473"/>
      <c r="I37" s="473"/>
      <c r="J37" s="473"/>
      <c r="K37" s="618"/>
      <c r="L37" s="1760" t="s">
        <v>611</v>
      </c>
      <c r="M37" s="616">
        <v>10</v>
      </c>
      <c r="N37" s="1762" t="s">
        <v>578</v>
      </c>
      <c r="O37" s="619">
        <v>256000</v>
      </c>
      <c r="P37" s="548">
        <f t="shared" ref="P37:P44" si="1">O37*M37</f>
        <v>2560000</v>
      </c>
      <c r="Q37" s="1776">
        <v>15</v>
      </c>
      <c r="R37" s="777" t="s">
        <v>578</v>
      </c>
      <c r="S37" s="778">
        <v>280320</v>
      </c>
      <c r="T37" s="781">
        <f t="shared" si="0"/>
        <v>4204800</v>
      </c>
      <c r="U37" s="783"/>
      <c r="V37" s="764"/>
    </row>
    <row r="38" spans="2:23" x14ac:dyDescent="0.25">
      <c r="B38" s="486"/>
      <c r="C38" s="489"/>
      <c r="D38" s="489"/>
      <c r="E38" s="473"/>
      <c r="F38" s="473"/>
      <c r="G38" s="473"/>
      <c r="H38" s="473"/>
      <c r="I38" s="473"/>
      <c r="J38" s="473"/>
      <c r="K38" s="618"/>
      <c r="L38" s="1760" t="s">
        <v>612</v>
      </c>
      <c r="M38" s="616">
        <v>15</v>
      </c>
      <c r="N38" s="1762" t="s">
        <v>578</v>
      </c>
      <c r="O38" s="619">
        <v>280320</v>
      </c>
      <c r="P38" s="548">
        <f t="shared" si="1"/>
        <v>4204800</v>
      </c>
      <c r="Q38" s="1776">
        <v>18</v>
      </c>
      <c r="R38" s="777" t="s">
        <v>578</v>
      </c>
      <c r="S38" s="778">
        <v>142940</v>
      </c>
      <c r="T38" s="781">
        <f t="shared" si="0"/>
        <v>2572920</v>
      </c>
      <c r="U38" s="783"/>
      <c r="V38" s="764"/>
    </row>
    <row r="39" spans="2:23" x14ac:dyDescent="0.25">
      <c r="B39" s="486"/>
      <c r="C39" s="489"/>
      <c r="D39" s="489"/>
      <c r="E39" s="473"/>
      <c r="F39" s="473"/>
      <c r="G39" s="473"/>
      <c r="H39" s="473"/>
      <c r="I39" s="473"/>
      <c r="J39" s="473"/>
      <c r="K39" s="618"/>
      <c r="L39" s="1760" t="s">
        <v>613</v>
      </c>
      <c r="M39" s="616">
        <v>18</v>
      </c>
      <c r="N39" s="1762" t="s">
        <v>578</v>
      </c>
      <c r="O39" s="619">
        <v>142940</v>
      </c>
      <c r="P39" s="548">
        <f t="shared" si="1"/>
        <v>2572920</v>
      </c>
      <c r="Q39" s="1776">
        <v>1</v>
      </c>
      <c r="R39" s="777" t="s">
        <v>578</v>
      </c>
      <c r="S39" s="778">
        <v>615650</v>
      </c>
      <c r="T39" s="781">
        <f t="shared" si="0"/>
        <v>615650</v>
      </c>
      <c r="U39" s="783"/>
      <c r="V39" s="764"/>
    </row>
    <row r="40" spans="2:23" x14ac:dyDescent="0.25">
      <c r="B40" s="486"/>
      <c r="C40" s="489"/>
      <c r="D40" s="489"/>
      <c r="E40" s="473"/>
      <c r="F40" s="473"/>
      <c r="G40" s="473"/>
      <c r="H40" s="473"/>
      <c r="I40" s="473"/>
      <c r="J40" s="473"/>
      <c r="K40" s="618"/>
      <c r="L40" s="1760" t="s">
        <v>614</v>
      </c>
      <c r="M40" s="616">
        <v>1</v>
      </c>
      <c r="N40" s="1762" t="s">
        <v>578</v>
      </c>
      <c r="O40" s="619">
        <v>615650</v>
      </c>
      <c r="P40" s="548">
        <f t="shared" si="1"/>
        <v>615650</v>
      </c>
      <c r="Q40" s="1776">
        <v>1</v>
      </c>
      <c r="R40" s="777" t="s">
        <v>578</v>
      </c>
      <c r="S40" s="778">
        <v>526080</v>
      </c>
      <c r="T40" s="781">
        <f t="shared" si="0"/>
        <v>526080</v>
      </c>
      <c r="U40" s="783"/>
      <c r="V40" s="764"/>
    </row>
    <row r="41" spans="2:23" x14ac:dyDescent="0.25">
      <c r="B41" s="486"/>
      <c r="C41" s="489"/>
      <c r="D41" s="489"/>
      <c r="E41" s="473"/>
      <c r="F41" s="473"/>
      <c r="G41" s="473"/>
      <c r="H41" s="473"/>
      <c r="I41" s="473"/>
      <c r="J41" s="473"/>
      <c r="K41" s="618"/>
      <c r="L41" s="1760" t="s">
        <v>615</v>
      </c>
      <c r="M41" s="616">
        <v>1</v>
      </c>
      <c r="N41" s="1762" t="s">
        <v>578</v>
      </c>
      <c r="O41" s="619">
        <v>526080</v>
      </c>
      <c r="P41" s="548">
        <f t="shared" si="1"/>
        <v>526080</v>
      </c>
      <c r="Q41" s="1776">
        <v>10</v>
      </c>
      <c r="R41" s="777" t="s">
        <v>578</v>
      </c>
      <c r="S41" s="778">
        <v>398080</v>
      </c>
      <c r="T41" s="781">
        <f t="shared" si="0"/>
        <v>3980800</v>
      </c>
      <c r="U41" s="783"/>
      <c r="V41" s="764"/>
    </row>
    <row r="42" spans="2:23" x14ac:dyDescent="0.25">
      <c r="B42" s="486"/>
      <c r="C42" s="489"/>
      <c r="D42" s="489"/>
      <c r="E42" s="473"/>
      <c r="F42" s="473"/>
      <c r="G42" s="473"/>
      <c r="H42" s="473"/>
      <c r="I42" s="473"/>
      <c r="J42" s="473"/>
      <c r="K42" s="618"/>
      <c r="L42" s="1760" t="s">
        <v>616</v>
      </c>
      <c r="M42" s="616">
        <v>10</v>
      </c>
      <c r="N42" s="1762" t="s">
        <v>578</v>
      </c>
      <c r="O42" s="619">
        <v>398080</v>
      </c>
      <c r="P42" s="548">
        <f t="shared" si="1"/>
        <v>3980800</v>
      </c>
      <c r="Q42" s="1776">
        <v>7</v>
      </c>
      <c r="R42" s="777" t="s">
        <v>578</v>
      </c>
      <c r="S42" s="778">
        <v>448000</v>
      </c>
      <c r="T42" s="781">
        <f t="shared" si="0"/>
        <v>3136000</v>
      </c>
      <c r="U42" s="784"/>
      <c r="V42" s="762"/>
    </row>
    <row r="43" spans="2:23" x14ac:dyDescent="0.25">
      <c r="B43" s="510"/>
      <c r="C43" s="513"/>
      <c r="D43" s="513"/>
      <c r="E43" s="1763"/>
      <c r="F43" s="1763"/>
      <c r="G43" s="513"/>
      <c r="H43" s="513"/>
      <c r="I43" s="513"/>
      <c r="J43" s="513"/>
      <c r="K43" s="1764"/>
      <c r="L43" s="1760" t="s">
        <v>617</v>
      </c>
      <c r="M43" s="616">
        <v>7</v>
      </c>
      <c r="N43" s="1762" t="s">
        <v>578</v>
      </c>
      <c r="O43" s="619">
        <v>448000</v>
      </c>
      <c r="P43" s="548">
        <f t="shared" si="1"/>
        <v>3136000</v>
      </c>
      <c r="Q43" s="1776">
        <v>1</v>
      </c>
      <c r="R43" s="777" t="s">
        <v>578</v>
      </c>
      <c r="S43" s="778">
        <v>358400</v>
      </c>
      <c r="T43" s="781">
        <f t="shared" si="0"/>
        <v>358400</v>
      </c>
      <c r="U43" s="783">
        <f>SUM(T43)-P43</f>
        <v>-2777600</v>
      </c>
      <c r="V43" s="762"/>
    </row>
    <row r="44" spans="2:23" x14ac:dyDescent="0.25">
      <c r="B44" s="510"/>
      <c r="C44" s="513"/>
      <c r="D44" s="513"/>
      <c r="E44" s="1763"/>
      <c r="F44" s="1763"/>
      <c r="G44" s="513"/>
      <c r="H44" s="513"/>
      <c r="I44" s="513"/>
      <c r="J44" s="513"/>
      <c r="K44" s="1764"/>
      <c r="L44" s="1766" t="s">
        <v>618</v>
      </c>
      <c r="M44" s="626">
        <v>1</v>
      </c>
      <c r="N44" s="636" t="s">
        <v>578</v>
      </c>
      <c r="O44" s="637">
        <v>358400</v>
      </c>
      <c r="P44" s="1774">
        <f t="shared" si="1"/>
        <v>358400</v>
      </c>
      <c r="Q44" s="1777"/>
      <c r="R44" s="1767"/>
      <c r="S44" s="651"/>
      <c r="T44" s="539"/>
      <c r="U44" s="1768"/>
      <c r="V44" s="1765"/>
    </row>
    <row r="45" spans="2:23" x14ac:dyDescent="0.25">
      <c r="B45" s="1778"/>
      <c r="C45" s="1779"/>
      <c r="D45" s="1779"/>
      <c r="E45" s="1779"/>
      <c r="F45" s="1779"/>
      <c r="G45" s="1779"/>
      <c r="H45" s="1779"/>
      <c r="I45" s="1779"/>
      <c r="J45" s="1779"/>
      <c r="K45" s="1779"/>
      <c r="L45" s="1780"/>
      <c r="M45" s="1781"/>
      <c r="N45" s="1781"/>
      <c r="O45" s="1782"/>
      <c r="P45" s="1783"/>
      <c r="Q45" s="785"/>
      <c r="R45" s="785"/>
      <c r="S45" s="1784"/>
      <c r="T45" s="1773"/>
      <c r="U45" s="541"/>
      <c r="V45" s="542"/>
    </row>
    <row r="46" spans="2:23" ht="14.5" thickBot="1" x14ac:dyDescent="0.3">
      <c r="B46" s="2967" t="s">
        <v>15</v>
      </c>
      <c r="C46" s="2968"/>
      <c r="D46" s="2968"/>
      <c r="E46" s="2968"/>
      <c r="F46" s="2968"/>
      <c r="G46" s="2968"/>
      <c r="H46" s="2968"/>
      <c r="I46" s="2968"/>
      <c r="J46" s="2968"/>
      <c r="K46" s="2968"/>
      <c r="L46" s="2968"/>
      <c r="M46" s="2968"/>
      <c r="N46" s="2968"/>
      <c r="O46" s="2968"/>
      <c r="P46" s="1769">
        <f>P28</f>
        <v>181879130</v>
      </c>
      <c r="Q46" s="2969"/>
      <c r="R46" s="2970"/>
      <c r="S46" s="2971"/>
      <c r="T46" s="1770">
        <f>T28</f>
        <v>21879130</v>
      </c>
      <c r="U46" s="1771">
        <f>U28</f>
        <v>-160000000</v>
      </c>
      <c r="V46" s="1772"/>
    </row>
    <row r="47" spans="2:23" ht="13" thickTop="1" x14ac:dyDescent="0.25">
      <c r="B47" s="1486"/>
      <c r="C47" s="1482"/>
      <c r="D47" s="1482"/>
      <c r="E47" s="1482"/>
      <c r="F47" s="1482"/>
      <c r="G47" s="1482"/>
      <c r="H47" s="1482"/>
      <c r="I47" s="1482"/>
      <c r="J47" s="1482"/>
      <c r="K47" s="1482"/>
      <c r="L47" s="1483"/>
      <c r="M47" s="1484"/>
      <c r="N47" s="1484"/>
      <c r="O47" s="1484"/>
      <c r="P47" s="1484"/>
      <c r="Q47" s="1484"/>
      <c r="R47" s="1484"/>
      <c r="S47" s="1485"/>
      <c r="T47" s="1485"/>
      <c r="U47" s="1485"/>
      <c r="V47" s="1487"/>
    </row>
    <row r="48" spans="2:23" ht="12.75" customHeight="1" x14ac:dyDescent="0.25">
      <c r="B48" s="440"/>
      <c r="C48" s="20"/>
      <c r="D48" s="20"/>
      <c r="E48" s="20"/>
      <c r="F48" s="20"/>
      <c r="G48" s="20"/>
      <c r="H48" s="20"/>
      <c r="I48" s="20"/>
      <c r="J48" s="20"/>
      <c r="K48" s="20"/>
      <c r="L48" s="1452"/>
      <c r="Q48" s="342"/>
      <c r="S48" s="2703" t="str">
        <f>'Pemel Kend Dinas '!S59:U59</f>
        <v>Banda Aceh,               2020</v>
      </c>
      <c r="T48" s="2703"/>
      <c r="U48" s="2703"/>
      <c r="V48" s="114"/>
      <c r="W48" s="100"/>
    </row>
    <row r="49" spans="2:23" x14ac:dyDescent="0.25">
      <c r="B49" s="440"/>
      <c r="C49" s="20"/>
      <c r="D49" s="20"/>
      <c r="E49" s="20"/>
      <c r="F49" s="20"/>
      <c r="G49" s="20"/>
      <c r="H49" s="20"/>
      <c r="I49" s="20"/>
      <c r="J49" s="20"/>
      <c r="K49" s="20"/>
      <c r="L49" s="333" t="str">
        <f>'Pemel Kend Dinas '!L60</f>
        <v>Mengesahkan,</v>
      </c>
      <c r="Q49" s="342"/>
      <c r="S49" s="2703" t="str">
        <f>'Pemel Kend Dinas '!S60:U60</f>
        <v>Pengguna Anggaran</v>
      </c>
      <c r="T49" s="2703"/>
      <c r="U49" s="2703"/>
      <c r="V49" s="44"/>
      <c r="W49" s="22"/>
    </row>
    <row r="50" spans="2:23" ht="12.75" customHeight="1" x14ac:dyDescent="0.25">
      <c r="B50" s="440"/>
      <c r="C50" s="20"/>
      <c r="D50" s="20"/>
      <c r="E50" s="20"/>
      <c r="F50" s="20"/>
      <c r="G50" s="20"/>
      <c r="H50" s="20"/>
      <c r="I50" s="20"/>
      <c r="J50" s="20"/>
      <c r="K50" s="20"/>
      <c r="L50" s="333" t="str">
        <f>'Pemel Kend Dinas '!L61</f>
        <v>Pejabat Pengelola Keuangan Daerah</v>
      </c>
      <c r="Q50" s="342"/>
      <c r="S50" s="2703" t="str">
        <f>'Pemel Kend Dinas '!S61:U61</f>
        <v xml:space="preserve"> Satuan Kerja Perangkat Daerah </v>
      </c>
      <c r="T50" s="2703"/>
      <c r="U50" s="2703"/>
      <c r="V50" s="44"/>
      <c r="W50" s="22"/>
    </row>
    <row r="51" spans="2:23" x14ac:dyDescent="0.25">
      <c r="B51" s="440"/>
      <c r="C51" s="20"/>
      <c r="D51" s="20"/>
      <c r="E51" s="20"/>
      <c r="F51" s="20"/>
      <c r="G51" s="20"/>
      <c r="H51" s="20"/>
      <c r="I51" s="20"/>
      <c r="J51" s="20"/>
      <c r="K51" s="20"/>
      <c r="L51" s="42"/>
      <c r="Q51" s="342"/>
      <c r="S51" s="113"/>
      <c r="T51" s="101"/>
      <c r="U51" s="101"/>
      <c r="V51" s="111"/>
      <c r="W51" s="102"/>
    </row>
    <row r="52" spans="2:23" x14ac:dyDescent="0.25">
      <c r="B52" s="440"/>
      <c r="C52" s="20"/>
      <c r="D52" s="20"/>
      <c r="E52" s="20"/>
      <c r="F52" s="20"/>
      <c r="G52" s="20"/>
      <c r="H52" s="20"/>
      <c r="I52" s="20"/>
      <c r="J52" s="20"/>
      <c r="K52" s="20"/>
      <c r="L52" s="42"/>
      <c r="Q52" s="342"/>
      <c r="S52" s="113"/>
      <c r="T52" s="113"/>
      <c r="U52" s="113"/>
      <c r="V52" s="114"/>
      <c r="W52" s="103"/>
    </row>
    <row r="53" spans="2:23" x14ac:dyDescent="0.25">
      <c r="B53" s="440"/>
      <c r="C53" s="20"/>
      <c r="D53" s="20"/>
      <c r="E53" s="20"/>
      <c r="F53" s="20"/>
      <c r="G53" s="20"/>
      <c r="H53" s="20"/>
      <c r="I53" s="20"/>
      <c r="J53" s="20"/>
      <c r="K53" s="20"/>
      <c r="L53" s="99"/>
      <c r="Q53" s="342"/>
      <c r="S53" s="113"/>
      <c r="T53" s="101"/>
      <c r="U53" s="101"/>
      <c r="V53" s="111"/>
      <c r="W53" s="102"/>
    </row>
    <row r="54" spans="2:23" ht="14" x14ac:dyDescent="0.3">
      <c r="B54" s="440"/>
      <c r="C54" s="20"/>
      <c r="D54" s="20"/>
      <c r="E54" s="20"/>
      <c r="F54" s="20"/>
      <c r="G54" s="20"/>
      <c r="H54" s="20"/>
      <c r="I54" s="20"/>
      <c r="J54" s="20"/>
      <c r="K54" s="20"/>
      <c r="L54" s="112" t="str">
        <f>'Pemel Kend Dinas '!L65</f>
        <v>M. Iqbal Rokan, S.STP.</v>
      </c>
      <c r="Q54" s="342"/>
      <c r="S54" s="2704" t="str">
        <f>'Pemel Kend Dinas '!S65:U65</f>
        <v>Bustami, SH</v>
      </c>
      <c r="T54" s="2704"/>
      <c r="U54" s="2704"/>
      <c r="V54" s="45"/>
      <c r="W54" s="104"/>
    </row>
    <row r="55" spans="2:23" x14ac:dyDescent="0.25">
      <c r="B55" s="440"/>
      <c r="C55" s="20"/>
      <c r="D55" s="20"/>
      <c r="E55" s="20"/>
      <c r="F55" s="20"/>
      <c r="G55" s="20"/>
      <c r="H55" s="20"/>
      <c r="I55" s="20"/>
      <c r="J55" s="20"/>
      <c r="K55" s="20"/>
      <c r="L55" s="333" t="str">
        <f>'Pemel Kend Dinas '!L66</f>
        <v>Nip. 19780505 199810 1 001</v>
      </c>
      <c r="Q55" s="342"/>
      <c r="S55" s="2703" t="str">
        <f>'Pemel Kend Dinas '!S66:U66</f>
        <v>Pembina Utama Muda / Nip. 196308241987031004</v>
      </c>
      <c r="T55" s="2703"/>
      <c r="U55" s="2703"/>
      <c r="V55" s="44"/>
      <c r="W55" s="22"/>
    </row>
    <row r="56" spans="2:23" x14ac:dyDescent="0.25">
      <c r="B56" s="440"/>
      <c r="C56" s="20"/>
      <c r="D56" s="20"/>
      <c r="E56" s="20"/>
      <c r="F56" s="20"/>
      <c r="G56" s="20"/>
      <c r="H56" s="20"/>
      <c r="I56" s="20"/>
      <c r="J56" s="20"/>
      <c r="K56" s="20"/>
      <c r="L56" s="333"/>
      <c r="Q56" s="342"/>
      <c r="S56" s="333"/>
      <c r="T56" s="333"/>
      <c r="U56" s="333"/>
      <c r="V56" s="441"/>
      <c r="W56" s="21"/>
    </row>
    <row r="57" spans="2:23" ht="14.25" customHeight="1" x14ac:dyDescent="0.25">
      <c r="B57" s="2705" t="s">
        <v>286</v>
      </c>
      <c r="C57" s="2706"/>
      <c r="D57" s="2706"/>
      <c r="E57" s="2706"/>
      <c r="F57" s="2706"/>
      <c r="G57" s="2706"/>
      <c r="H57" s="2706"/>
      <c r="I57" s="2706"/>
      <c r="J57" s="2706"/>
      <c r="K57" s="2706"/>
      <c r="L57" s="2706"/>
      <c r="M57" s="2707" t="s">
        <v>145</v>
      </c>
      <c r="N57" s="2708"/>
      <c r="O57" s="2708"/>
      <c r="P57" s="2708"/>
      <c r="Q57" s="2708"/>
      <c r="R57" s="2708"/>
      <c r="S57" s="2708"/>
      <c r="T57" s="2708"/>
      <c r="U57" s="2708"/>
      <c r="V57" s="2709"/>
    </row>
    <row r="58" spans="2:23" ht="14.25" customHeight="1" x14ac:dyDescent="0.3">
      <c r="B58" s="2710"/>
      <c r="C58" s="2711"/>
      <c r="D58" s="2711"/>
      <c r="E58" s="2711"/>
      <c r="F58" s="2711"/>
      <c r="G58" s="2711"/>
      <c r="H58" s="2711"/>
      <c r="I58" s="2711"/>
      <c r="J58" s="2711"/>
      <c r="K58" s="2711"/>
      <c r="L58" s="2712"/>
      <c r="M58" s="331" t="s">
        <v>142</v>
      </c>
      <c r="N58" s="2713"/>
      <c r="O58" s="2713"/>
      <c r="P58" s="2713"/>
      <c r="Q58" s="2714" t="s">
        <v>143</v>
      </c>
      <c r="R58" s="2714"/>
      <c r="S58" s="2714"/>
      <c r="T58" s="332" t="s">
        <v>144</v>
      </c>
      <c r="U58" s="2714" t="s">
        <v>146</v>
      </c>
      <c r="V58" s="2715"/>
    </row>
    <row r="59" spans="2:23" ht="14.25" customHeight="1" x14ac:dyDescent="0.3">
      <c r="B59" s="2716" t="s">
        <v>293</v>
      </c>
      <c r="C59" s="2717"/>
      <c r="D59" s="2717"/>
      <c r="E59" s="2717"/>
      <c r="F59" s="2717"/>
      <c r="G59" s="2717"/>
      <c r="H59" s="2717"/>
      <c r="I59" s="2717"/>
      <c r="J59" s="2717"/>
      <c r="K59" s="2717"/>
      <c r="L59" s="107">
        <v>0</v>
      </c>
      <c r="M59" s="118">
        <v>1</v>
      </c>
      <c r="N59" s="2718" t="str">
        <f>'Pemel Kend Dinas '!N70:P70</f>
        <v>Weri, SE. MA</v>
      </c>
      <c r="O59" s="2719"/>
      <c r="P59" s="2719"/>
      <c r="Q59" s="2720" t="str">
        <f>'Pemel Kend Dinas '!Q70:S70</f>
        <v>19640525 198903 1 026</v>
      </c>
      <c r="R59" s="2721"/>
      <c r="S59" s="2722"/>
      <c r="T59" s="109" t="s">
        <v>302</v>
      </c>
      <c r="U59" s="442" t="s">
        <v>287</v>
      </c>
      <c r="V59" s="443"/>
    </row>
    <row r="60" spans="2:23" ht="14" x14ac:dyDescent="0.3">
      <c r="B60" s="2716" t="s">
        <v>294</v>
      </c>
      <c r="C60" s="2717"/>
      <c r="D60" s="2717"/>
      <c r="E60" s="2717"/>
      <c r="F60" s="2717"/>
      <c r="G60" s="2717"/>
      <c r="H60" s="2717"/>
      <c r="I60" s="2717"/>
      <c r="J60" s="2717"/>
      <c r="K60" s="2717"/>
      <c r="L60" s="107">
        <v>0</v>
      </c>
      <c r="M60" s="118">
        <v>2</v>
      </c>
      <c r="N60" s="2723" t="str">
        <f>'Pemel Kend Dinas '!N71:P71</f>
        <v>Azmi, SH</v>
      </c>
      <c r="O60" s="2724"/>
      <c r="P60" s="2724"/>
      <c r="Q60" s="2720" t="str">
        <f>'Pemel Kend Dinas '!Q71:S71</f>
        <v>19680824 199903 1 004</v>
      </c>
      <c r="R60" s="2721"/>
      <c r="S60" s="2722"/>
      <c r="T60" s="109" t="s">
        <v>303</v>
      </c>
      <c r="U60" s="444"/>
      <c r="V60" s="445" t="s">
        <v>128</v>
      </c>
    </row>
    <row r="61" spans="2:23" ht="14" x14ac:dyDescent="0.3">
      <c r="B61" s="2716" t="s">
        <v>295</v>
      </c>
      <c r="C61" s="2717"/>
      <c r="D61" s="2717"/>
      <c r="E61" s="2717"/>
      <c r="F61" s="2717"/>
      <c r="G61" s="2717"/>
      <c r="H61" s="2717"/>
      <c r="I61" s="2717"/>
      <c r="J61" s="2717"/>
      <c r="K61" s="2717"/>
      <c r="L61" s="107">
        <v>0</v>
      </c>
      <c r="M61" s="117">
        <v>3</v>
      </c>
      <c r="N61" s="2723" t="str">
        <f>'Pemel Kend Dinas '!N72:P72</f>
        <v>Muhammad Syaifuddin Ambia, ST, MT</v>
      </c>
      <c r="O61" s="2724"/>
      <c r="P61" s="2724"/>
      <c r="Q61" s="2720" t="str">
        <f>'Pemel Kend Dinas '!Q72:S72</f>
        <v>19741010 200604 1 003</v>
      </c>
      <c r="R61" s="2721"/>
      <c r="S61" s="2722"/>
      <c r="T61" s="109" t="s">
        <v>304</v>
      </c>
      <c r="U61" s="446" t="s">
        <v>292</v>
      </c>
      <c r="V61" s="443"/>
    </row>
    <row r="62" spans="2:23" ht="15" customHeight="1" x14ac:dyDescent="0.3">
      <c r="B62" s="2716" t="s">
        <v>296</v>
      </c>
      <c r="C62" s="2717"/>
      <c r="D62" s="2717"/>
      <c r="E62" s="2717"/>
      <c r="F62" s="2717"/>
      <c r="G62" s="2717"/>
      <c r="H62" s="2717"/>
      <c r="I62" s="2717"/>
      <c r="J62" s="2717"/>
      <c r="K62" s="2717"/>
      <c r="L62" s="107">
        <v>0</v>
      </c>
      <c r="M62" s="118">
        <v>4</v>
      </c>
      <c r="N62" s="2723" t="str">
        <f>'Pemel Kend Dinas '!N73:P73</f>
        <v>Basri, SE, M.Si</v>
      </c>
      <c r="O62" s="2724"/>
      <c r="P62" s="2724"/>
      <c r="Q62" s="2720" t="str">
        <f>'Pemel Kend Dinas '!Q73:S73</f>
        <v>19691213 199403 1 002</v>
      </c>
      <c r="R62" s="2721"/>
      <c r="S62" s="2722"/>
      <c r="T62" s="109" t="s">
        <v>305</v>
      </c>
      <c r="U62" s="444"/>
      <c r="V62" s="445" t="s">
        <v>288</v>
      </c>
    </row>
    <row r="63" spans="2:23" ht="14" x14ac:dyDescent="0.3">
      <c r="B63" s="2716" t="s">
        <v>297</v>
      </c>
      <c r="C63" s="2717"/>
      <c r="D63" s="2717"/>
      <c r="E63" s="2717"/>
      <c r="F63" s="2717"/>
      <c r="G63" s="2717"/>
      <c r="H63" s="2717"/>
      <c r="I63" s="2717"/>
      <c r="J63" s="2717"/>
      <c r="K63" s="2717"/>
      <c r="L63" s="108">
        <f>SUM(L59:L62)</f>
        <v>0</v>
      </c>
      <c r="M63" s="105">
        <v>5</v>
      </c>
      <c r="N63" s="2723" t="str">
        <f>'Pemel Kend Dinas '!N74:P74</f>
        <v>Dewi Shinta Reza, SE. Ak</v>
      </c>
      <c r="O63" s="2724"/>
      <c r="P63" s="2724"/>
      <c r="Q63" s="2720" t="str">
        <f>'Pemel Kend Dinas '!Q74:S74</f>
        <v>19750630 200212 2 003</v>
      </c>
      <c r="R63" s="2721"/>
      <c r="S63" s="2722"/>
      <c r="T63" s="109" t="s">
        <v>306</v>
      </c>
      <c r="U63" s="446" t="s">
        <v>289</v>
      </c>
      <c r="V63" s="443"/>
    </row>
    <row r="64" spans="2:23" ht="13.5" customHeight="1" x14ac:dyDescent="0.3">
      <c r="B64" s="2710"/>
      <c r="C64" s="2711"/>
      <c r="D64" s="2711"/>
      <c r="E64" s="2711"/>
      <c r="F64" s="2711"/>
      <c r="G64" s="2711"/>
      <c r="H64" s="2711"/>
      <c r="I64" s="2711"/>
      <c r="J64" s="2711"/>
      <c r="K64" s="2711"/>
      <c r="L64" s="2712"/>
      <c r="M64" s="105">
        <v>6</v>
      </c>
      <c r="N64" s="2718" t="str">
        <f>'Pemel Kend Dinas '!N75:P75</f>
        <v>Harisman, S.STP, M.Ec.Dev</v>
      </c>
      <c r="O64" s="2719"/>
      <c r="P64" s="2719"/>
      <c r="Q64" s="2720" t="str">
        <f>'Pemel Kend Dinas '!Q75:S75</f>
        <v>19830101 200112 1 003</v>
      </c>
      <c r="R64" s="2721"/>
      <c r="S64" s="2722"/>
      <c r="T64" s="109" t="s">
        <v>307</v>
      </c>
      <c r="U64" s="444"/>
      <c r="V64" s="445" t="s">
        <v>290</v>
      </c>
    </row>
    <row r="65" spans="2:22" ht="14.5" thickBot="1" x14ac:dyDescent="0.35">
      <c r="B65" s="2725"/>
      <c r="C65" s="2726"/>
      <c r="D65" s="2726"/>
      <c r="E65" s="2726"/>
      <c r="F65" s="2726"/>
      <c r="G65" s="2726"/>
      <c r="H65" s="2726"/>
      <c r="I65" s="2726"/>
      <c r="J65" s="2726"/>
      <c r="K65" s="2726"/>
      <c r="L65" s="2727"/>
      <c r="M65" s="106">
        <v>7</v>
      </c>
      <c r="N65" s="2728" t="str">
        <f>'Pemel Kend Dinas '!N76:P76</f>
        <v>Alriandi, S.STP, M.Si</v>
      </c>
      <c r="O65" s="2729"/>
      <c r="P65" s="2729"/>
      <c r="Q65" s="2733" t="str">
        <f>'Pemel Kend Dinas '!Q76:S76</f>
        <v>19830308 200112 1 001</v>
      </c>
      <c r="R65" s="2734"/>
      <c r="S65" s="2735"/>
      <c r="T65" s="110" t="s">
        <v>308</v>
      </c>
      <c r="U65" s="447" t="s">
        <v>291</v>
      </c>
      <c r="V65" s="448"/>
    </row>
    <row r="66" spans="2:22" ht="13" thickTop="1" x14ac:dyDescent="0.25">
      <c r="B66" s="342"/>
      <c r="C66" s="342"/>
      <c r="D66" s="342"/>
      <c r="E66" s="342"/>
      <c r="F66" s="342"/>
      <c r="G66" s="342"/>
      <c r="H66" s="342"/>
      <c r="I66" s="342"/>
      <c r="J66" s="342"/>
      <c r="K66" s="342"/>
      <c r="L66" s="342"/>
      <c r="M66" s="342"/>
      <c r="N66" s="342"/>
      <c r="O66" s="342"/>
      <c r="P66" s="342"/>
    </row>
    <row r="67" spans="2:22" x14ac:dyDescent="0.25">
      <c r="B67" s="342"/>
      <c r="C67" s="342"/>
      <c r="D67" s="342"/>
      <c r="E67" s="342"/>
      <c r="F67" s="342"/>
      <c r="G67" s="342"/>
      <c r="H67" s="342"/>
      <c r="I67" s="342"/>
      <c r="J67" s="342"/>
      <c r="K67" s="342"/>
      <c r="L67" s="342"/>
      <c r="M67" s="342"/>
      <c r="N67" s="342"/>
      <c r="O67" s="342"/>
      <c r="P67" s="342"/>
    </row>
    <row r="68" spans="2:22" x14ac:dyDescent="0.25">
      <c r="B68" s="342"/>
      <c r="C68" s="342"/>
      <c r="D68" s="342"/>
      <c r="E68" s="342"/>
      <c r="F68" s="342"/>
      <c r="G68" s="342"/>
      <c r="H68" s="342"/>
      <c r="I68" s="342"/>
      <c r="J68" s="342"/>
      <c r="K68" s="342"/>
      <c r="L68" s="342"/>
      <c r="M68" s="342"/>
      <c r="N68" s="342"/>
      <c r="O68" s="342"/>
      <c r="P68" s="342"/>
    </row>
    <row r="69" spans="2:22" x14ac:dyDescent="0.25">
      <c r="B69" s="342"/>
      <c r="C69" s="342"/>
      <c r="D69" s="342"/>
      <c r="E69" s="342"/>
      <c r="F69" s="342"/>
      <c r="G69" s="342"/>
      <c r="H69" s="342"/>
      <c r="I69" s="342"/>
      <c r="J69" s="342"/>
      <c r="K69" s="342"/>
      <c r="L69" s="342"/>
      <c r="M69" s="342"/>
      <c r="N69" s="342"/>
      <c r="O69" s="342"/>
      <c r="P69" s="342"/>
    </row>
    <row r="70" spans="2:22" x14ac:dyDescent="0.25">
      <c r="B70" s="342"/>
      <c r="C70" s="342"/>
      <c r="D70" s="342"/>
      <c r="E70" s="342"/>
      <c r="F70" s="342"/>
      <c r="G70" s="342"/>
      <c r="H70" s="342"/>
      <c r="I70" s="342"/>
      <c r="J70" s="342"/>
      <c r="K70" s="342"/>
      <c r="L70" s="342"/>
      <c r="M70" s="342"/>
      <c r="N70" s="342"/>
      <c r="O70" s="342"/>
      <c r="P70" s="342"/>
    </row>
    <row r="71" spans="2:22" x14ac:dyDescent="0.25">
      <c r="B71" s="342"/>
      <c r="C71" s="342"/>
      <c r="D71" s="342"/>
      <c r="E71" s="342"/>
      <c r="F71" s="342"/>
      <c r="G71" s="342"/>
      <c r="H71" s="342"/>
      <c r="I71" s="342"/>
      <c r="J71" s="342"/>
      <c r="K71" s="342"/>
      <c r="L71" s="342"/>
      <c r="M71" s="342"/>
      <c r="N71" s="342"/>
      <c r="O71" s="342"/>
      <c r="P71" s="342"/>
    </row>
    <row r="72" spans="2:22" x14ac:dyDescent="0.25">
      <c r="B72" s="342"/>
      <c r="C72" s="342"/>
      <c r="D72" s="342"/>
      <c r="E72" s="342"/>
      <c r="F72" s="342"/>
      <c r="G72" s="342"/>
      <c r="H72" s="342"/>
      <c r="I72" s="342"/>
      <c r="J72" s="342"/>
      <c r="K72" s="342"/>
      <c r="L72" s="342"/>
      <c r="M72" s="342"/>
      <c r="N72" s="342"/>
      <c r="O72" s="342"/>
      <c r="P72" s="342"/>
    </row>
    <row r="73" spans="2:22" x14ac:dyDescent="0.25">
      <c r="B73" s="342"/>
      <c r="C73" s="342"/>
      <c r="D73" s="342"/>
      <c r="E73" s="342"/>
      <c r="F73" s="342"/>
      <c r="G73" s="342"/>
      <c r="H73" s="342"/>
      <c r="I73" s="342"/>
      <c r="J73" s="342"/>
      <c r="K73" s="342"/>
      <c r="L73" s="342"/>
      <c r="M73" s="342"/>
      <c r="N73" s="342"/>
      <c r="O73" s="342"/>
      <c r="P73" s="342"/>
    </row>
    <row r="74" spans="2:22" x14ac:dyDescent="0.25">
      <c r="B74" s="342"/>
      <c r="C74" s="342"/>
      <c r="D74" s="342"/>
      <c r="E74" s="342"/>
      <c r="F74" s="342"/>
      <c r="G74" s="342"/>
      <c r="H74" s="342"/>
      <c r="I74" s="342"/>
      <c r="J74" s="342"/>
      <c r="K74" s="342"/>
      <c r="L74" s="342"/>
      <c r="M74" s="342"/>
      <c r="N74" s="342"/>
      <c r="O74" s="342"/>
      <c r="P74" s="342"/>
    </row>
    <row r="75" spans="2:22" x14ac:dyDescent="0.25">
      <c r="B75" s="342"/>
      <c r="C75" s="342"/>
      <c r="D75" s="342"/>
      <c r="E75" s="342"/>
      <c r="F75" s="342"/>
      <c r="G75" s="342"/>
      <c r="H75" s="342"/>
      <c r="I75" s="342"/>
      <c r="J75" s="342"/>
      <c r="K75" s="342"/>
      <c r="L75" s="342"/>
      <c r="M75" s="342"/>
      <c r="N75" s="342"/>
      <c r="O75" s="342"/>
      <c r="P75" s="342"/>
    </row>
    <row r="76" spans="2:22" x14ac:dyDescent="0.25">
      <c r="B76" s="342"/>
      <c r="C76" s="342"/>
      <c r="D76" s="342"/>
      <c r="E76" s="342"/>
      <c r="F76" s="342"/>
      <c r="G76" s="342"/>
      <c r="H76" s="342"/>
      <c r="I76" s="342"/>
      <c r="J76" s="342"/>
      <c r="K76" s="342"/>
      <c r="L76" s="342"/>
      <c r="M76" s="342"/>
      <c r="N76" s="342"/>
      <c r="O76" s="342"/>
      <c r="P76" s="342"/>
    </row>
    <row r="77" spans="2:22" x14ac:dyDescent="0.25">
      <c r="B77" s="342"/>
      <c r="C77" s="342"/>
      <c r="D77" s="342"/>
      <c r="E77" s="342"/>
      <c r="F77" s="342"/>
      <c r="G77" s="342"/>
      <c r="H77" s="342"/>
      <c r="I77" s="342"/>
      <c r="J77" s="342"/>
      <c r="K77" s="342"/>
      <c r="L77" s="342"/>
      <c r="M77" s="342"/>
      <c r="N77" s="342"/>
      <c r="O77" s="342"/>
      <c r="P77" s="342"/>
    </row>
    <row r="78" spans="2:22" x14ac:dyDescent="0.25">
      <c r="B78" s="342"/>
      <c r="C78" s="342"/>
      <c r="D78" s="342"/>
      <c r="E78" s="342"/>
      <c r="F78" s="342"/>
      <c r="G78" s="342"/>
      <c r="H78" s="342"/>
      <c r="I78" s="342"/>
      <c r="J78" s="342"/>
      <c r="K78" s="342"/>
      <c r="L78" s="342"/>
      <c r="M78" s="342"/>
      <c r="N78" s="342"/>
      <c r="O78" s="342"/>
      <c r="P78" s="342"/>
    </row>
    <row r="79" spans="2:22" x14ac:dyDescent="0.25">
      <c r="B79" s="342"/>
      <c r="C79" s="342"/>
      <c r="D79" s="342"/>
      <c r="E79" s="342"/>
      <c r="F79" s="342"/>
      <c r="G79" s="342"/>
      <c r="H79" s="342"/>
      <c r="I79" s="342"/>
      <c r="J79" s="342"/>
      <c r="K79" s="342"/>
      <c r="L79" s="342"/>
      <c r="M79" s="342"/>
      <c r="N79" s="342"/>
      <c r="O79" s="342"/>
      <c r="P79" s="342"/>
    </row>
    <row r="80" spans="2:22" x14ac:dyDescent="0.25">
      <c r="B80" s="342"/>
      <c r="C80" s="342"/>
      <c r="D80" s="342"/>
      <c r="E80" s="342"/>
      <c r="F80" s="342"/>
      <c r="G80" s="342"/>
      <c r="H80" s="342"/>
      <c r="I80" s="342"/>
      <c r="J80" s="342"/>
      <c r="K80" s="342"/>
      <c r="L80" s="342"/>
      <c r="M80" s="342"/>
      <c r="N80" s="342"/>
      <c r="O80" s="342"/>
      <c r="P80" s="342"/>
    </row>
    <row r="81" spans="2:16" x14ac:dyDescent="0.25">
      <c r="B81" s="342"/>
      <c r="C81" s="342"/>
      <c r="D81" s="342"/>
      <c r="E81" s="342"/>
      <c r="F81" s="342"/>
      <c r="G81" s="342"/>
      <c r="H81" s="342"/>
      <c r="I81" s="342"/>
      <c r="J81" s="342"/>
      <c r="K81" s="342"/>
      <c r="L81" s="342"/>
      <c r="M81" s="342"/>
      <c r="N81" s="342"/>
      <c r="O81" s="342"/>
      <c r="P81" s="342"/>
    </row>
    <row r="82" spans="2:16" x14ac:dyDescent="0.25">
      <c r="B82" s="342"/>
      <c r="C82" s="342"/>
      <c r="D82" s="342"/>
      <c r="E82" s="342"/>
      <c r="F82" s="342"/>
      <c r="G82" s="342"/>
      <c r="H82" s="342"/>
      <c r="I82" s="342"/>
      <c r="J82" s="342"/>
      <c r="K82" s="342"/>
      <c r="L82" s="342"/>
      <c r="M82" s="342"/>
      <c r="N82" s="342"/>
      <c r="O82" s="342"/>
      <c r="P82" s="342"/>
    </row>
  </sheetData>
  <mergeCells count="97">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57:L57"/>
    <mergeCell ref="M57:V57"/>
    <mergeCell ref="B27:K27"/>
    <mergeCell ref="B46:O46"/>
    <mergeCell ref="Q46:S46"/>
    <mergeCell ref="S48:U48"/>
    <mergeCell ref="S49:U49"/>
    <mergeCell ref="S50:U50"/>
    <mergeCell ref="S54:U54"/>
    <mergeCell ref="S55:U55"/>
    <mergeCell ref="B58:L58"/>
    <mergeCell ref="N58:P58"/>
    <mergeCell ref="Q58:S58"/>
    <mergeCell ref="U58:V58"/>
    <mergeCell ref="B59:K59"/>
    <mergeCell ref="N59:P59"/>
    <mergeCell ref="Q59:S59"/>
    <mergeCell ref="B60:K60"/>
    <mergeCell ref="N60:P60"/>
    <mergeCell ref="Q60:S60"/>
    <mergeCell ref="B61:K61"/>
    <mergeCell ref="N61:P61"/>
    <mergeCell ref="Q61:S61"/>
    <mergeCell ref="B62:K62"/>
    <mergeCell ref="N62:P62"/>
    <mergeCell ref="Q62:S62"/>
    <mergeCell ref="B63:K63"/>
    <mergeCell ref="N63:P63"/>
    <mergeCell ref="Q63:S63"/>
    <mergeCell ref="B64:L64"/>
    <mergeCell ref="N64:P64"/>
    <mergeCell ref="Q64:S64"/>
    <mergeCell ref="B65:L65"/>
    <mergeCell ref="N65:P65"/>
    <mergeCell ref="Q65:S65"/>
  </mergeCells>
  <pageMargins left="0.511811023622047" right="1.0255905510000001" top="0.511811023622047" bottom="0.47244094488188998" header="0.31496062992126" footer="0.31496062992126"/>
  <pageSetup paperSize="5" scale="58" orientation="landscape" horizontalDpi="4294967293" vertic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X114"/>
  <sheetViews>
    <sheetView view="pageBreakPreview" topLeftCell="A22" zoomScale="75" zoomScaleNormal="70" zoomScaleSheetLayoutView="80" workbookViewId="0">
      <selection activeCell="P71" sqref="P71"/>
    </sheetView>
  </sheetViews>
  <sheetFormatPr defaultColWidth="8.7265625" defaultRowHeight="13" x14ac:dyDescent="0.3"/>
  <cols>
    <col min="1" max="1" width="4.26953125" style="148" customWidth="1"/>
    <col min="2" max="2" width="2.81640625" style="148" customWidth="1"/>
    <col min="3" max="4" width="3" style="148" customWidth="1"/>
    <col min="5" max="6" width="3.26953125" style="148" customWidth="1"/>
    <col min="7" max="7" width="2.81640625" style="148" customWidth="1"/>
    <col min="8" max="8" width="2.26953125" style="148" customWidth="1"/>
    <col min="9" max="9" width="2.453125" style="148" customWidth="1"/>
    <col min="10" max="10" width="3.1796875" style="148" customWidth="1"/>
    <col min="11" max="11" width="3" style="148" customWidth="1"/>
    <col min="12" max="12" width="47.1796875" style="148" customWidth="1"/>
    <col min="13" max="13" width="8.81640625" style="148" customWidth="1"/>
    <col min="14" max="14" width="8" style="148" customWidth="1"/>
    <col min="15" max="15" width="15.1796875" style="148" customWidth="1"/>
    <col min="16" max="16" width="17.1796875" style="148" customWidth="1"/>
    <col min="17" max="17" width="9" style="148" customWidth="1"/>
    <col min="18" max="18" width="8" style="148" customWidth="1"/>
    <col min="19" max="19" width="15.1796875" style="148" customWidth="1"/>
    <col min="20" max="20" width="30.54296875" style="148" customWidth="1"/>
    <col min="21" max="21" width="17" style="148" customWidth="1"/>
    <col min="22" max="22" width="15" style="148" customWidth="1"/>
    <col min="23" max="16384" width="8.7265625" style="148"/>
  </cols>
  <sheetData>
    <row r="1" spans="2:24" ht="13.5" thickBot="1" x14ac:dyDescent="0.35"/>
    <row r="2" spans="2:24" ht="18.75" customHeight="1" thickTop="1" x14ac:dyDescent="0.3">
      <c r="B2" s="149"/>
      <c r="C2" s="150"/>
      <c r="D2" s="150"/>
      <c r="E2" s="150"/>
      <c r="F2" s="150"/>
      <c r="G2" s="150"/>
      <c r="H2" s="150"/>
      <c r="I2" s="150"/>
      <c r="J2" s="2972" t="s">
        <v>278</v>
      </c>
      <c r="K2" s="2972"/>
      <c r="L2" s="2972"/>
      <c r="M2" s="2972"/>
      <c r="N2" s="2972"/>
      <c r="O2" s="2972"/>
      <c r="P2" s="2972"/>
      <c r="Q2" s="2972"/>
      <c r="R2" s="2973"/>
      <c r="S2" s="2974" t="s">
        <v>277</v>
      </c>
      <c r="T2" s="2975"/>
      <c r="U2" s="2972" t="s">
        <v>276</v>
      </c>
      <c r="V2" s="2976"/>
    </row>
    <row r="3" spans="2:24" ht="18" customHeight="1" thickBot="1" x14ac:dyDescent="0.35">
      <c r="B3" s="151"/>
      <c r="C3" s="152"/>
      <c r="D3" s="152"/>
      <c r="E3" s="152"/>
      <c r="F3" s="152"/>
      <c r="G3" s="152"/>
      <c r="H3" s="152"/>
      <c r="I3" s="152"/>
      <c r="J3" s="2977" t="s">
        <v>114</v>
      </c>
      <c r="K3" s="2977"/>
      <c r="L3" s="2977"/>
      <c r="M3" s="2977"/>
      <c r="N3" s="2977"/>
      <c r="O3" s="2977"/>
      <c r="P3" s="2977"/>
      <c r="Q3" s="2977"/>
      <c r="R3" s="2978"/>
      <c r="S3" s="2979" t="s">
        <v>313</v>
      </c>
      <c r="T3" s="2980"/>
      <c r="U3" s="2981" t="s">
        <v>283</v>
      </c>
      <c r="V3" s="2982"/>
    </row>
    <row r="4" spans="2:24" ht="14.25" customHeight="1" x14ac:dyDescent="0.3">
      <c r="B4" s="2983" t="s">
        <v>11</v>
      </c>
      <c r="C4" s="2984"/>
      <c r="D4" s="2984"/>
      <c r="E4" s="2984"/>
      <c r="F4" s="2984"/>
      <c r="G4" s="2984"/>
      <c r="H4" s="2984"/>
      <c r="I4" s="2984"/>
      <c r="J4" s="2984"/>
      <c r="K4" s="2984"/>
      <c r="L4" s="2984"/>
      <c r="M4" s="2984"/>
      <c r="N4" s="2984"/>
      <c r="O4" s="2984"/>
      <c r="P4" s="2984"/>
      <c r="Q4" s="2984"/>
      <c r="R4" s="2984"/>
      <c r="S4" s="2984"/>
      <c r="T4" s="2984"/>
      <c r="U4" s="2984"/>
      <c r="V4" s="2985"/>
    </row>
    <row r="5" spans="2:24" ht="15" customHeight="1" thickBot="1" x14ac:dyDescent="0.35">
      <c r="B5" s="2986" t="str">
        <f>'E-Gov Infrastruktur'!B5:V5</f>
        <v>Tahun Anggaran 2020</v>
      </c>
      <c r="C5" s="2987"/>
      <c r="D5" s="2987"/>
      <c r="E5" s="2987"/>
      <c r="F5" s="2987"/>
      <c r="G5" s="2987"/>
      <c r="H5" s="2987"/>
      <c r="I5" s="2987"/>
      <c r="J5" s="2987"/>
      <c r="K5" s="2987"/>
      <c r="L5" s="2987"/>
      <c r="M5" s="2987"/>
      <c r="N5" s="2987"/>
      <c r="O5" s="2987"/>
      <c r="P5" s="2987"/>
      <c r="Q5" s="2987"/>
      <c r="R5" s="2987"/>
      <c r="S5" s="2987"/>
      <c r="T5" s="2987"/>
      <c r="U5" s="2987"/>
      <c r="V5" s="2988"/>
    </row>
    <row r="6" spans="2:24" ht="19" customHeight="1" x14ac:dyDescent="0.3">
      <c r="B6" s="2989" t="s">
        <v>314</v>
      </c>
      <c r="C6" s="2990"/>
      <c r="D6" s="2990"/>
      <c r="E6" s="2990"/>
      <c r="F6" s="2990"/>
      <c r="G6" s="2990"/>
      <c r="H6" s="2990"/>
      <c r="I6" s="2990"/>
      <c r="J6" s="2990"/>
      <c r="K6" s="2990"/>
      <c r="L6" s="270" t="s">
        <v>241</v>
      </c>
      <c r="M6" s="2990" t="s">
        <v>237</v>
      </c>
      <c r="N6" s="2990"/>
      <c r="O6" s="2990"/>
      <c r="P6" s="2990"/>
      <c r="Q6" s="2990"/>
      <c r="R6" s="2990"/>
      <c r="S6" s="2990"/>
      <c r="T6" s="2990"/>
      <c r="U6" s="2990"/>
      <c r="V6" s="2991"/>
    </row>
    <row r="7" spans="2:24" ht="19" customHeight="1" thickBot="1" x14ac:dyDescent="0.35">
      <c r="B7" s="2992" t="s">
        <v>315</v>
      </c>
      <c r="C7" s="2993"/>
      <c r="D7" s="2993"/>
      <c r="E7" s="2993"/>
      <c r="F7" s="2993"/>
      <c r="G7" s="2993"/>
      <c r="H7" s="2993"/>
      <c r="I7" s="2993"/>
      <c r="J7" s="2993"/>
      <c r="K7" s="2993"/>
      <c r="L7" s="271" t="s">
        <v>240</v>
      </c>
      <c r="M7" s="2994" t="s">
        <v>260</v>
      </c>
      <c r="N7" s="2994"/>
      <c r="O7" s="2994"/>
      <c r="P7" s="2994"/>
      <c r="Q7" s="2994"/>
      <c r="R7" s="2994"/>
      <c r="S7" s="2994"/>
      <c r="T7" s="2994"/>
      <c r="U7" s="2994"/>
      <c r="V7" s="2995"/>
    </row>
    <row r="8" spans="2:24" ht="19" customHeight="1" x14ac:dyDescent="0.3">
      <c r="B8" s="2996" t="s">
        <v>316</v>
      </c>
      <c r="C8" s="2997"/>
      <c r="D8" s="2997"/>
      <c r="E8" s="2997"/>
      <c r="F8" s="2997"/>
      <c r="G8" s="2997"/>
      <c r="H8" s="2997"/>
      <c r="I8" s="2997"/>
      <c r="J8" s="2997"/>
      <c r="K8" s="2997"/>
      <c r="L8" s="272" t="s">
        <v>439</v>
      </c>
      <c r="M8" s="2998" t="s">
        <v>441</v>
      </c>
      <c r="N8" s="2998"/>
      <c r="O8" s="2998"/>
      <c r="P8" s="2998"/>
      <c r="Q8" s="2998"/>
      <c r="R8" s="2998"/>
      <c r="S8" s="2998"/>
      <c r="T8" s="2998"/>
      <c r="U8" s="2998"/>
      <c r="V8" s="2999"/>
    </row>
    <row r="9" spans="2:24" ht="19" customHeight="1" x14ac:dyDescent="0.3">
      <c r="B9" s="3000" t="s">
        <v>318</v>
      </c>
      <c r="C9" s="3001"/>
      <c r="D9" s="3001"/>
      <c r="E9" s="3001"/>
      <c r="F9" s="3001"/>
      <c r="G9" s="3001"/>
      <c r="H9" s="3001"/>
      <c r="I9" s="3001"/>
      <c r="J9" s="3001"/>
      <c r="K9" s="3001"/>
      <c r="L9" s="153" t="s">
        <v>647</v>
      </c>
      <c r="M9" s="3002" t="s">
        <v>526</v>
      </c>
      <c r="N9" s="3002"/>
      <c r="O9" s="3002"/>
      <c r="P9" s="3002"/>
      <c r="Q9" s="3002"/>
      <c r="R9" s="3002"/>
      <c r="S9" s="3002"/>
      <c r="T9" s="3002"/>
      <c r="U9" s="3002"/>
      <c r="V9" s="3003"/>
    </row>
    <row r="10" spans="2:24" ht="19" customHeight="1" x14ac:dyDescent="0.3">
      <c r="B10" s="2996" t="s">
        <v>317</v>
      </c>
      <c r="C10" s="2997"/>
      <c r="D10" s="2997"/>
      <c r="E10" s="2997"/>
      <c r="F10" s="2997"/>
      <c r="G10" s="2997"/>
      <c r="H10" s="2997"/>
      <c r="I10" s="2997"/>
      <c r="J10" s="2997"/>
      <c r="K10" s="2997"/>
      <c r="M10" s="3004" t="str">
        <f>'E-Gov Infrastruktur'!M10:V10</f>
        <v>Januari s/d Desember 2020</v>
      </c>
      <c r="N10" s="3004"/>
      <c r="O10" s="3004"/>
      <c r="P10" s="3004"/>
      <c r="Q10" s="3004"/>
      <c r="R10" s="3004"/>
      <c r="S10" s="3004"/>
      <c r="T10" s="3004"/>
      <c r="U10" s="3004"/>
      <c r="V10" s="3005"/>
    </row>
    <row r="11" spans="2:24" ht="31.5" customHeight="1" x14ac:dyDescent="0.3">
      <c r="B11" s="3017" t="s">
        <v>319</v>
      </c>
      <c r="C11" s="3018"/>
      <c r="D11" s="3018"/>
      <c r="E11" s="3018"/>
      <c r="F11" s="3018"/>
      <c r="G11" s="3018"/>
      <c r="H11" s="3018"/>
      <c r="I11" s="3018"/>
      <c r="J11" s="3018"/>
      <c r="K11" s="3018"/>
      <c r="L11" s="261"/>
      <c r="M11" s="3019" t="s">
        <v>620</v>
      </c>
      <c r="N11" s="3019"/>
      <c r="O11" s="3019"/>
      <c r="P11" s="3019"/>
      <c r="Q11" s="3019"/>
      <c r="R11" s="3019"/>
      <c r="S11" s="3019"/>
      <c r="T11" s="3019"/>
      <c r="U11" s="3019"/>
      <c r="V11" s="3020"/>
    </row>
    <row r="12" spans="2:24" ht="19" customHeight="1" x14ac:dyDescent="0.3">
      <c r="B12" s="3021" t="s">
        <v>320</v>
      </c>
      <c r="C12" s="3022"/>
      <c r="D12" s="3022"/>
      <c r="E12" s="3022"/>
      <c r="F12" s="3022"/>
      <c r="G12" s="3022"/>
      <c r="H12" s="3022"/>
      <c r="I12" s="3022"/>
      <c r="J12" s="3022"/>
      <c r="K12" s="3022"/>
      <c r="L12" s="3022"/>
      <c r="M12" s="3023" t="s">
        <v>322</v>
      </c>
      <c r="N12" s="3024"/>
      <c r="O12" s="3024"/>
      <c r="P12" s="3024"/>
      <c r="Q12" s="3024"/>
      <c r="R12" s="3024"/>
      <c r="S12" s="3024"/>
      <c r="T12" s="3024"/>
      <c r="U12" s="3024"/>
      <c r="V12" s="3025"/>
    </row>
    <row r="13" spans="2:24" ht="14.25" customHeight="1" x14ac:dyDescent="0.3">
      <c r="B13" s="3026" t="s">
        <v>280</v>
      </c>
      <c r="C13" s="3013"/>
      <c r="D13" s="3013"/>
      <c r="E13" s="3013"/>
      <c r="F13" s="3013"/>
      <c r="G13" s="3013"/>
      <c r="H13" s="3013"/>
      <c r="I13" s="3013"/>
      <c r="J13" s="3013"/>
      <c r="K13" s="3013"/>
      <c r="L13" s="3013"/>
      <c r="M13" s="3013"/>
      <c r="N13" s="3013"/>
      <c r="O13" s="3013"/>
      <c r="P13" s="3013"/>
      <c r="Q13" s="3013"/>
      <c r="R13" s="3013"/>
      <c r="S13" s="3013"/>
      <c r="T13" s="3013"/>
      <c r="U13" s="3013"/>
      <c r="V13" s="3027"/>
    </row>
    <row r="14" spans="2:24" ht="14.25" customHeight="1" x14ac:dyDescent="0.3">
      <c r="B14" s="3006" t="s">
        <v>13</v>
      </c>
      <c r="C14" s="3007"/>
      <c r="D14" s="3007"/>
      <c r="E14" s="3007"/>
      <c r="F14" s="3007"/>
      <c r="G14" s="3007"/>
      <c r="H14" s="3007"/>
      <c r="I14" s="3007"/>
      <c r="J14" s="3007"/>
      <c r="K14" s="3008"/>
      <c r="L14" s="3012" t="s">
        <v>133</v>
      </c>
      <c r="M14" s="3013"/>
      <c r="N14" s="3013"/>
      <c r="O14" s="3013"/>
      <c r="P14" s="3014"/>
      <c r="Q14" s="3015" t="s">
        <v>134</v>
      </c>
      <c r="R14" s="3015"/>
      <c r="S14" s="3015"/>
      <c r="T14" s="3015"/>
      <c r="U14" s="3015"/>
      <c r="V14" s="3016"/>
    </row>
    <row r="15" spans="2:24" ht="14.25" customHeight="1" x14ac:dyDescent="0.3">
      <c r="B15" s="3009"/>
      <c r="C15" s="3010"/>
      <c r="D15" s="3010"/>
      <c r="E15" s="3010"/>
      <c r="F15" s="3010"/>
      <c r="G15" s="3010"/>
      <c r="H15" s="3010"/>
      <c r="I15" s="3010"/>
      <c r="J15" s="3010"/>
      <c r="K15" s="3011"/>
      <c r="L15" s="273" t="s">
        <v>270</v>
      </c>
      <c r="M15" s="3012" t="s">
        <v>281</v>
      </c>
      <c r="N15" s="3013"/>
      <c r="O15" s="3013"/>
      <c r="P15" s="3014"/>
      <c r="Q15" s="3015" t="s">
        <v>270</v>
      </c>
      <c r="R15" s="3015"/>
      <c r="S15" s="3015"/>
      <c r="T15" s="3015" t="s">
        <v>281</v>
      </c>
      <c r="U15" s="3015"/>
      <c r="V15" s="3016"/>
      <c r="W15" s="154"/>
    </row>
    <row r="16" spans="2:24" ht="14.25" customHeight="1" x14ac:dyDescent="0.3">
      <c r="B16" s="3041" t="s">
        <v>14</v>
      </c>
      <c r="C16" s="3042"/>
      <c r="D16" s="3042"/>
      <c r="E16" s="3042"/>
      <c r="F16" s="3042"/>
      <c r="G16" s="3042"/>
      <c r="H16" s="3042"/>
      <c r="I16" s="3042"/>
      <c r="J16" s="3042"/>
      <c r="K16" s="3043"/>
      <c r="L16" s="157" t="s">
        <v>504</v>
      </c>
      <c r="M16" s="3028" t="s">
        <v>504</v>
      </c>
      <c r="N16" s="3029"/>
      <c r="O16" s="3029"/>
      <c r="P16" s="3030"/>
      <c r="Q16" s="3031">
        <v>1</v>
      </c>
      <c r="R16" s="3032"/>
      <c r="S16" s="3032"/>
      <c r="T16" s="3033">
        <v>1</v>
      </c>
      <c r="U16" s="3034"/>
      <c r="V16" s="3035"/>
      <c r="W16" s="155"/>
      <c r="X16" s="156"/>
    </row>
    <row r="17" spans="2:22" ht="14" x14ac:dyDescent="0.3">
      <c r="B17" s="3041" t="s">
        <v>135</v>
      </c>
      <c r="C17" s="3042"/>
      <c r="D17" s="3042"/>
      <c r="E17" s="3042"/>
      <c r="F17" s="3042"/>
      <c r="G17" s="3042"/>
      <c r="H17" s="3042"/>
      <c r="I17" s="3042"/>
      <c r="J17" s="3042"/>
      <c r="K17" s="3043"/>
      <c r="L17" s="157" t="s">
        <v>430</v>
      </c>
      <c r="M17" s="3044" t="str">
        <f>L17</f>
        <v>Jumlah Dana Yang Dibutuhkan</v>
      </c>
      <c r="N17" s="3044"/>
      <c r="O17" s="3044"/>
      <c r="P17" s="3044"/>
      <c r="Q17" s="3045">
        <f>P28</f>
        <v>27783930</v>
      </c>
      <c r="R17" s="3046"/>
      <c r="S17" s="3047"/>
      <c r="T17" s="3048">
        <f>T28</f>
        <v>27783930</v>
      </c>
      <c r="U17" s="3048"/>
      <c r="V17" s="3049"/>
    </row>
    <row r="18" spans="2:22" ht="17.5" customHeight="1" x14ac:dyDescent="0.3">
      <c r="B18" s="3036" t="s">
        <v>136</v>
      </c>
      <c r="C18" s="3037"/>
      <c r="D18" s="3037"/>
      <c r="E18" s="3037"/>
      <c r="F18" s="3037"/>
      <c r="G18" s="3037"/>
      <c r="H18" s="3037"/>
      <c r="I18" s="3037"/>
      <c r="J18" s="3037"/>
      <c r="K18" s="3038"/>
      <c r="L18" s="236" t="s">
        <v>646</v>
      </c>
      <c r="M18" s="3039" t="s">
        <v>646</v>
      </c>
      <c r="N18" s="3039"/>
      <c r="O18" s="3039"/>
      <c r="P18" s="3039"/>
      <c r="Q18" s="3032" t="s">
        <v>506</v>
      </c>
      <c r="R18" s="3032"/>
      <c r="S18" s="3032"/>
      <c r="T18" s="3032" t="s">
        <v>506</v>
      </c>
      <c r="U18" s="3032"/>
      <c r="V18" s="3040"/>
    </row>
    <row r="19" spans="2:22" ht="27.65" customHeight="1" x14ac:dyDescent="0.3">
      <c r="B19" s="3036" t="s">
        <v>137</v>
      </c>
      <c r="C19" s="3037"/>
      <c r="D19" s="3037"/>
      <c r="E19" s="3037"/>
      <c r="F19" s="3037"/>
      <c r="G19" s="3037"/>
      <c r="H19" s="3037"/>
      <c r="I19" s="3037"/>
      <c r="J19" s="3037"/>
      <c r="K19" s="3038"/>
      <c r="L19" s="157" t="s">
        <v>507</v>
      </c>
      <c r="M19" s="3050" t="s">
        <v>507</v>
      </c>
      <c r="N19" s="3050"/>
      <c r="O19" s="3050"/>
      <c r="P19" s="3050"/>
      <c r="Q19" s="3051">
        <v>0.05</v>
      </c>
      <c r="R19" s="3052"/>
      <c r="S19" s="3052"/>
      <c r="T19" s="3051">
        <v>0.05</v>
      </c>
      <c r="U19" s="3052"/>
      <c r="V19" s="3053"/>
    </row>
    <row r="20" spans="2:22" ht="14.25" customHeight="1" x14ac:dyDescent="0.3">
      <c r="B20" s="3021" t="s">
        <v>443</v>
      </c>
      <c r="C20" s="3022"/>
      <c r="D20" s="3022"/>
      <c r="E20" s="3022"/>
      <c r="F20" s="3022"/>
      <c r="G20" s="3022"/>
      <c r="H20" s="3022"/>
      <c r="I20" s="3022"/>
      <c r="J20" s="3022"/>
      <c r="K20" s="3022"/>
      <c r="L20" s="3022"/>
      <c r="M20" s="3022"/>
      <c r="N20" s="3022"/>
      <c r="O20" s="3022"/>
      <c r="P20" s="3022"/>
      <c r="Q20" s="3022"/>
      <c r="R20" s="3022"/>
      <c r="S20" s="3022"/>
      <c r="T20" s="3022"/>
      <c r="U20" s="3022"/>
      <c r="V20" s="3054"/>
    </row>
    <row r="21" spans="2:22" ht="22.5" customHeight="1" thickBot="1" x14ac:dyDescent="0.35">
      <c r="B21" s="3055" t="s">
        <v>282</v>
      </c>
      <c r="C21" s="3056"/>
      <c r="D21" s="3056"/>
      <c r="E21" s="3056"/>
      <c r="F21" s="3056"/>
      <c r="G21" s="3056"/>
      <c r="H21" s="3056"/>
      <c r="I21" s="3056"/>
      <c r="J21" s="3056"/>
      <c r="K21" s="3056"/>
      <c r="L21" s="3056"/>
      <c r="M21" s="3056"/>
      <c r="N21" s="3056"/>
      <c r="O21" s="3056"/>
      <c r="P21" s="3056"/>
      <c r="Q21" s="3056"/>
      <c r="R21" s="3056"/>
      <c r="S21" s="3056"/>
      <c r="T21" s="3056"/>
      <c r="U21" s="3056"/>
      <c r="V21" s="3057"/>
    </row>
    <row r="22" spans="2:22" ht="14.25" customHeight="1" x14ac:dyDescent="0.3">
      <c r="B22" s="3058" t="s">
        <v>12</v>
      </c>
      <c r="C22" s="3059"/>
      <c r="D22" s="3059"/>
      <c r="E22" s="3059"/>
      <c r="F22" s="3059"/>
      <c r="G22" s="3059"/>
      <c r="H22" s="3059"/>
      <c r="I22" s="3059"/>
      <c r="J22" s="3059"/>
      <c r="K22" s="3060"/>
      <c r="L22" s="3067" t="s">
        <v>121</v>
      </c>
      <c r="M22" s="3069" t="s">
        <v>270</v>
      </c>
      <c r="N22" s="3070"/>
      <c r="O22" s="3070"/>
      <c r="P22" s="3070"/>
      <c r="Q22" s="3071" t="s">
        <v>269</v>
      </c>
      <c r="R22" s="3072"/>
      <c r="S22" s="3072"/>
      <c r="T22" s="3072"/>
      <c r="U22" s="3073" t="s">
        <v>272</v>
      </c>
      <c r="V22" s="3074"/>
    </row>
    <row r="23" spans="2:22" ht="12.75" customHeight="1" x14ac:dyDescent="0.3">
      <c r="B23" s="3061"/>
      <c r="C23" s="3062"/>
      <c r="D23" s="3062"/>
      <c r="E23" s="3062"/>
      <c r="F23" s="3062"/>
      <c r="G23" s="3062"/>
      <c r="H23" s="3062"/>
      <c r="I23" s="3062"/>
      <c r="J23" s="3062"/>
      <c r="K23" s="3063"/>
      <c r="L23" s="3067"/>
      <c r="M23" s="3075" t="s">
        <v>125</v>
      </c>
      <c r="N23" s="3076"/>
      <c r="O23" s="3077"/>
      <c r="P23" s="268"/>
      <c r="Q23" s="3078" t="s">
        <v>125</v>
      </c>
      <c r="R23" s="3079"/>
      <c r="S23" s="3080"/>
      <c r="T23" s="158"/>
      <c r="U23" s="3081" t="s">
        <v>205</v>
      </c>
      <c r="V23" s="3082" t="s">
        <v>273</v>
      </c>
    </row>
    <row r="24" spans="2:22" ht="12.75" customHeight="1" x14ac:dyDescent="0.3">
      <c r="B24" s="3061"/>
      <c r="C24" s="3062"/>
      <c r="D24" s="3062"/>
      <c r="E24" s="3062"/>
      <c r="F24" s="3062"/>
      <c r="G24" s="3062"/>
      <c r="H24" s="3062"/>
      <c r="I24" s="3062"/>
      <c r="J24" s="3062"/>
      <c r="K24" s="3063"/>
      <c r="L24" s="3067"/>
      <c r="M24" s="3083" t="s">
        <v>127</v>
      </c>
      <c r="N24" s="3084" t="s">
        <v>8</v>
      </c>
      <c r="O24" s="3084" t="s">
        <v>129</v>
      </c>
      <c r="P24" s="159" t="s">
        <v>122</v>
      </c>
      <c r="Q24" s="3087" t="s">
        <v>127</v>
      </c>
      <c r="R24" s="3090" t="s">
        <v>8</v>
      </c>
      <c r="S24" s="3090" t="s">
        <v>129</v>
      </c>
      <c r="T24" s="160" t="s">
        <v>122</v>
      </c>
      <c r="U24" s="3081"/>
      <c r="V24" s="3082"/>
    </row>
    <row r="25" spans="2:22" ht="12.75" customHeight="1" x14ac:dyDescent="0.3">
      <c r="B25" s="3061"/>
      <c r="C25" s="3062"/>
      <c r="D25" s="3062"/>
      <c r="E25" s="3062"/>
      <c r="F25" s="3062"/>
      <c r="G25" s="3062"/>
      <c r="H25" s="3062"/>
      <c r="I25" s="3062"/>
      <c r="J25" s="3062"/>
      <c r="K25" s="3063"/>
      <c r="L25" s="3067"/>
      <c r="M25" s="3067"/>
      <c r="N25" s="3085"/>
      <c r="O25" s="3085"/>
      <c r="P25" s="159" t="s">
        <v>123</v>
      </c>
      <c r="Q25" s="3088"/>
      <c r="R25" s="3091"/>
      <c r="S25" s="3091"/>
      <c r="T25" s="160" t="s">
        <v>123</v>
      </c>
      <c r="U25" s="3081"/>
      <c r="V25" s="3082"/>
    </row>
    <row r="26" spans="2:22" ht="12.75" customHeight="1" x14ac:dyDescent="0.3">
      <c r="B26" s="3064"/>
      <c r="C26" s="3065"/>
      <c r="D26" s="3065"/>
      <c r="E26" s="3065"/>
      <c r="F26" s="3065"/>
      <c r="G26" s="3065"/>
      <c r="H26" s="3065"/>
      <c r="I26" s="3065"/>
      <c r="J26" s="3065"/>
      <c r="K26" s="3066"/>
      <c r="L26" s="3068"/>
      <c r="M26" s="3068"/>
      <c r="N26" s="3086"/>
      <c r="O26" s="3086"/>
      <c r="P26" s="161"/>
      <c r="Q26" s="3089"/>
      <c r="R26" s="3092"/>
      <c r="S26" s="3092"/>
      <c r="T26" s="162"/>
      <c r="U26" s="3081"/>
      <c r="V26" s="3082"/>
    </row>
    <row r="27" spans="2:22" ht="13.5" thickBot="1" x14ac:dyDescent="0.35">
      <c r="B27" s="3098">
        <v>1</v>
      </c>
      <c r="C27" s="3099"/>
      <c r="D27" s="3099"/>
      <c r="E27" s="3099"/>
      <c r="F27" s="3099"/>
      <c r="G27" s="3099"/>
      <c r="H27" s="3099"/>
      <c r="I27" s="3099"/>
      <c r="J27" s="3099"/>
      <c r="K27" s="3100"/>
      <c r="L27" s="163">
        <v>2</v>
      </c>
      <c r="M27" s="163">
        <v>3</v>
      </c>
      <c r="N27" s="163">
        <v>4</v>
      </c>
      <c r="O27" s="164">
        <v>5</v>
      </c>
      <c r="P27" s="275" t="s">
        <v>7</v>
      </c>
      <c r="Q27" s="165">
        <v>7</v>
      </c>
      <c r="R27" s="165">
        <v>8</v>
      </c>
      <c r="S27" s="166">
        <v>9</v>
      </c>
      <c r="T27" s="167" t="s">
        <v>275</v>
      </c>
      <c r="U27" s="168" t="s">
        <v>274</v>
      </c>
      <c r="V27" s="169">
        <v>12</v>
      </c>
    </row>
    <row r="28" spans="2:22" ht="13.5" thickTop="1" x14ac:dyDescent="0.3">
      <c r="B28" s="225">
        <v>1</v>
      </c>
      <c r="C28" s="226" t="s">
        <v>444</v>
      </c>
      <c r="D28" s="226" t="s">
        <v>84</v>
      </c>
      <c r="E28" s="251"/>
      <c r="F28" s="229"/>
      <c r="G28" s="228">
        <v>5</v>
      </c>
      <c r="H28" s="228">
        <v>2</v>
      </c>
      <c r="I28" s="229"/>
      <c r="J28" s="229"/>
      <c r="K28" s="229"/>
      <c r="L28" s="252" t="s">
        <v>54</v>
      </c>
      <c r="M28" s="237"/>
      <c r="N28" s="238"/>
      <c r="O28" s="239"/>
      <c r="P28" s="144">
        <f>P29</f>
        <v>27783930</v>
      </c>
      <c r="Q28" s="237"/>
      <c r="R28" s="238"/>
      <c r="S28" s="239"/>
      <c r="T28" s="144">
        <f>T29</f>
        <v>27783930</v>
      </c>
      <c r="U28" s="215">
        <f>SUM(T28)-P28</f>
        <v>0</v>
      </c>
      <c r="V28" s="170"/>
    </row>
    <row r="29" spans="2:22" x14ac:dyDescent="0.3">
      <c r="B29" s="225">
        <v>1</v>
      </c>
      <c r="C29" s="226" t="s">
        <v>444</v>
      </c>
      <c r="D29" s="226" t="s">
        <v>84</v>
      </c>
      <c r="E29" s="227">
        <v>15</v>
      </c>
      <c r="F29" s="226"/>
      <c r="G29" s="228"/>
      <c r="H29" s="228"/>
      <c r="I29" s="229"/>
      <c r="J29" s="229"/>
      <c r="K29" s="229"/>
      <c r="L29" s="277" t="s">
        <v>622</v>
      </c>
      <c r="M29" s="278"/>
      <c r="N29" s="238"/>
      <c r="O29" s="239"/>
      <c r="P29" s="145">
        <f>P30</f>
        <v>27783930</v>
      </c>
      <c r="Q29" s="278"/>
      <c r="R29" s="238"/>
      <c r="S29" s="239"/>
      <c r="T29" s="145">
        <f>T30</f>
        <v>27783930</v>
      </c>
      <c r="U29" s="212"/>
      <c r="V29" s="213"/>
    </row>
    <row r="30" spans="2:22" ht="26.15" customHeight="1" x14ac:dyDescent="0.3">
      <c r="B30" s="233">
        <v>1</v>
      </c>
      <c r="C30" s="234" t="s">
        <v>444</v>
      </c>
      <c r="D30" s="234" t="s">
        <v>84</v>
      </c>
      <c r="E30" s="279">
        <v>15</v>
      </c>
      <c r="F30" s="279" t="s">
        <v>84</v>
      </c>
      <c r="G30" s="228"/>
      <c r="H30" s="228"/>
      <c r="I30" s="229"/>
      <c r="J30" s="229"/>
      <c r="K30" s="226"/>
      <c r="L30" s="280" t="s">
        <v>526</v>
      </c>
      <c r="M30" s="278"/>
      <c r="N30" s="238"/>
      <c r="O30" s="239"/>
      <c r="P30" s="145">
        <f>SUM(P32+P51)</f>
        <v>27783930</v>
      </c>
      <c r="Q30" s="278"/>
      <c r="R30" s="238"/>
      <c r="S30" s="239"/>
      <c r="T30" s="145">
        <f>SUM(T32+T51)</f>
        <v>27783930</v>
      </c>
      <c r="U30" s="214">
        <f>SUM(T30)-P30</f>
        <v>0</v>
      </c>
      <c r="V30" s="213"/>
    </row>
    <row r="31" spans="2:22" x14ac:dyDescent="0.3">
      <c r="B31" s="225"/>
      <c r="C31" s="226"/>
      <c r="D31" s="226"/>
      <c r="E31" s="227"/>
      <c r="F31" s="226"/>
      <c r="G31" s="228"/>
      <c r="H31" s="228"/>
      <c r="I31" s="229"/>
      <c r="J31" s="229"/>
      <c r="K31" s="226"/>
      <c r="L31" s="253"/>
      <c r="M31" s="281"/>
      <c r="N31" s="240"/>
      <c r="O31" s="241"/>
      <c r="P31" s="144"/>
      <c r="Q31" s="281"/>
      <c r="R31" s="240"/>
      <c r="S31" s="241"/>
      <c r="T31" s="144"/>
      <c r="U31" s="212"/>
      <c r="V31" s="213"/>
    </row>
    <row r="32" spans="2:22" ht="25.5" customHeight="1" x14ac:dyDescent="0.3">
      <c r="B32" s="225">
        <v>1</v>
      </c>
      <c r="C32" s="226" t="s">
        <v>444</v>
      </c>
      <c r="D32" s="226" t="s">
        <v>84</v>
      </c>
      <c r="E32" s="227">
        <v>15</v>
      </c>
      <c r="F32" s="227" t="s">
        <v>84</v>
      </c>
      <c r="G32" s="228">
        <v>5</v>
      </c>
      <c r="H32" s="228">
        <v>2</v>
      </c>
      <c r="I32" s="229">
        <v>1</v>
      </c>
      <c r="J32" s="229"/>
      <c r="K32" s="229"/>
      <c r="L32" s="216" t="s">
        <v>39</v>
      </c>
      <c r="M32" s="255"/>
      <c r="N32" s="49"/>
      <c r="O32" s="50"/>
      <c r="P32" s="144">
        <f>P33+P44</f>
        <v>17000000</v>
      </c>
      <c r="Q32" s="255"/>
      <c r="R32" s="49"/>
      <c r="S32" s="50"/>
      <c r="T32" s="144">
        <f>T33+T44</f>
        <v>17000000</v>
      </c>
      <c r="U32" s="214">
        <f>SUM(T32)-P32</f>
        <v>0</v>
      </c>
      <c r="V32" s="213"/>
    </row>
    <row r="33" spans="2:22" ht="15.65" customHeight="1" x14ac:dyDescent="0.35">
      <c r="B33" s="225">
        <v>1</v>
      </c>
      <c r="C33" s="226" t="s">
        <v>444</v>
      </c>
      <c r="D33" s="226" t="s">
        <v>84</v>
      </c>
      <c r="E33" s="227">
        <v>15</v>
      </c>
      <c r="F33" s="227" t="s">
        <v>84</v>
      </c>
      <c r="G33" s="228">
        <v>5</v>
      </c>
      <c r="H33" s="228">
        <v>2</v>
      </c>
      <c r="I33" s="229">
        <v>1</v>
      </c>
      <c r="J33" s="226" t="s">
        <v>84</v>
      </c>
      <c r="K33" s="229"/>
      <c r="L33" s="217" t="s">
        <v>96</v>
      </c>
      <c r="M33" s="255"/>
      <c r="N33" s="51"/>
      <c r="O33" s="52"/>
      <c r="P33" s="144">
        <f>P34+P37</f>
        <v>16200000</v>
      </c>
      <c r="Q33" s="255"/>
      <c r="R33" s="51"/>
      <c r="S33" s="52"/>
      <c r="T33" s="144">
        <f>T34+T37</f>
        <v>16200000</v>
      </c>
      <c r="U33" s="214"/>
      <c r="V33" s="213"/>
    </row>
    <row r="34" spans="2:22" x14ac:dyDescent="0.3">
      <c r="B34" s="225">
        <v>1</v>
      </c>
      <c r="C34" s="226" t="s">
        <v>444</v>
      </c>
      <c r="D34" s="226" t="s">
        <v>84</v>
      </c>
      <c r="E34" s="227">
        <v>15</v>
      </c>
      <c r="F34" s="227" t="s">
        <v>84</v>
      </c>
      <c r="G34" s="228">
        <v>5</v>
      </c>
      <c r="H34" s="228">
        <v>2</v>
      </c>
      <c r="I34" s="229">
        <v>1</v>
      </c>
      <c r="J34" s="226" t="s">
        <v>84</v>
      </c>
      <c r="K34" s="226" t="s">
        <v>84</v>
      </c>
      <c r="L34" s="256" t="s">
        <v>85</v>
      </c>
      <c r="M34" s="257"/>
      <c r="N34" s="53"/>
      <c r="O34" s="54"/>
      <c r="P34" s="142">
        <f>SUM(P35:P35)</f>
        <v>1000000</v>
      </c>
      <c r="Q34" s="257"/>
      <c r="R34" s="53"/>
      <c r="S34" s="54"/>
      <c r="T34" s="142">
        <f>SUM(T35:T35)</f>
        <v>1000000</v>
      </c>
      <c r="U34" s="214">
        <f>SUM(T34)-P34</f>
        <v>0</v>
      </c>
      <c r="V34" s="213"/>
    </row>
    <row r="35" spans="2:22" ht="26" x14ac:dyDescent="0.3">
      <c r="B35" s="225"/>
      <c r="C35" s="226"/>
      <c r="D35" s="226"/>
      <c r="E35" s="231"/>
      <c r="F35" s="226"/>
      <c r="G35" s="229"/>
      <c r="H35" s="229"/>
      <c r="I35" s="243"/>
      <c r="J35" s="232"/>
      <c r="K35" s="226"/>
      <c r="L35" s="218" t="s">
        <v>623</v>
      </c>
      <c r="M35" s="258">
        <v>4</v>
      </c>
      <c r="N35" s="259" t="s">
        <v>82</v>
      </c>
      <c r="O35" s="260">
        <v>250000</v>
      </c>
      <c r="P35" s="282">
        <f>O35*M35</f>
        <v>1000000</v>
      </c>
      <c r="Q35" s="258">
        <v>4</v>
      </c>
      <c r="R35" s="259" t="s">
        <v>82</v>
      </c>
      <c r="S35" s="260">
        <v>250000</v>
      </c>
      <c r="T35" s="282">
        <f>S35*Q35</f>
        <v>1000000</v>
      </c>
      <c r="U35" s="214">
        <f>SUM(T35)-P35</f>
        <v>0</v>
      </c>
      <c r="V35" s="179">
        <f>U35/P35*100</f>
        <v>0</v>
      </c>
    </row>
    <row r="36" spans="2:22" x14ac:dyDescent="0.3">
      <c r="B36" s="225"/>
      <c r="C36" s="226"/>
      <c r="D36" s="226"/>
      <c r="E36" s="231"/>
      <c r="F36" s="226"/>
      <c r="G36" s="229"/>
      <c r="H36" s="229"/>
      <c r="I36" s="243"/>
      <c r="J36" s="232"/>
      <c r="K36" s="226"/>
      <c r="L36" s="219"/>
      <c r="M36" s="258"/>
      <c r="N36" s="87"/>
      <c r="O36" s="88"/>
      <c r="P36" s="283"/>
      <c r="Q36" s="258"/>
      <c r="R36" s="87"/>
      <c r="S36" s="88"/>
      <c r="T36" s="283"/>
      <c r="U36" s="214">
        <f>SUM(T36)-P36</f>
        <v>0</v>
      </c>
      <c r="V36" s="213"/>
    </row>
    <row r="37" spans="2:22" x14ac:dyDescent="0.3">
      <c r="B37" s="225">
        <v>1</v>
      </c>
      <c r="C37" s="226" t="s">
        <v>444</v>
      </c>
      <c r="D37" s="226" t="s">
        <v>84</v>
      </c>
      <c r="E37" s="227">
        <v>15</v>
      </c>
      <c r="F37" s="227" t="s">
        <v>84</v>
      </c>
      <c r="G37" s="228">
        <v>5</v>
      </c>
      <c r="H37" s="228">
        <v>2</v>
      </c>
      <c r="I37" s="229">
        <v>1</v>
      </c>
      <c r="J37" s="226" t="s">
        <v>84</v>
      </c>
      <c r="K37" s="226" t="s">
        <v>112</v>
      </c>
      <c r="L37" s="256" t="s">
        <v>502</v>
      </c>
      <c r="M37" s="258"/>
      <c r="N37" s="84"/>
      <c r="O37" s="87"/>
      <c r="P37" s="284">
        <f>P38</f>
        <v>15200000</v>
      </c>
      <c r="Q37" s="258"/>
      <c r="R37" s="84"/>
      <c r="S37" s="87"/>
      <c r="T37" s="284">
        <f>T38</f>
        <v>15200000</v>
      </c>
      <c r="U37" s="235">
        <f>SUM(T37)-P37</f>
        <v>0</v>
      </c>
      <c r="V37" s="213"/>
    </row>
    <row r="38" spans="2:22" x14ac:dyDescent="0.3">
      <c r="B38" s="225"/>
      <c r="C38" s="226"/>
      <c r="D38" s="226"/>
      <c r="E38" s="231"/>
      <c r="F38" s="226"/>
      <c r="G38" s="229"/>
      <c r="H38" s="229"/>
      <c r="I38" s="228"/>
      <c r="J38" s="242"/>
      <c r="K38" s="226"/>
      <c r="L38" s="249" t="s">
        <v>624</v>
      </c>
      <c r="M38" s="258"/>
      <c r="N38" s="84"/>
      <c r="O38" s="85"/>
      <c r="P38" s="283">
        <f>SUM(P39:P42)</f>
        <v>15200000</v>
      </c>
      <c r="Q38" s="258"/>
      <c r="R38" s="84"/>
      <c r="S38" s="85"/>
      <c r="T38" s="283">
        <f>SUM(T39:T42)</f>
        <v>15200000</v>
      </c>
      <c r="U38" s="212"/>
      <c r="V38" s="213"/>
    </row>
    <row r="39" spans="2:22" x14ac:dyDescent="0.3">
      <c r="B39" s="225"/>
      <c r="C39" s="226"/>
      <c r="D39" s="226"/>
      <c r="E39" s="231"/>
      <c r="F39" s="226"/>
      <c r="G39" s="229"/>
      <c r="H39" s="229"/>
      <c r="I39" s="228"/>
      <c r="J39" s="242"/>
      <c r="K39" s="226"/>
      <c r="L39" s="285" t="s">
        <v>625</v>
      </c>
      <c r="M39" s="257">
        <f>1*4</f>
        <v>4</v>
      </c>
      <c r="N39" s="54" t="s">
        <v>82</v>
      </c>
      <c r="O39" s="56">
        <v>500000</v>
      </c>
      <c r="P39" s="283">
        <f>M39*O39</f>
        <v>2000000</v>
      </c>
      <c r="Q39" s="257">
        <f>1*4</f>
        <v>4</v>
      </c>
      <c r="R39" s="54" t="s">
        <v>82</v>
      </c>
      <c r="S39" s="56">
        <v>500000</v>
      </c>
      <c r="T39" s="283">
        <f>Q39*S39</f>
        <v>2000000</v>
      </c>
      <c r="U39" s="214">
        <f>SUM(T39)-P39</f>
        <v>0</v>
      </c>
      <c r="V39" s="211">
        <f>U39/P39*100</f>
        <v>0</v>
      </c>
    </row>
    <row r="40" spans="2:22" x14ac:dyDescent="0.3">
      <c r="B40" s="225"/>
      <c r="C40" s="226"/>
      <c r="D40" s="226"/>
      <c r="E40" s="231"/>
      <c r="F40" s="226"/>
      <c r="G40" s="229"/>
      <c r="H40" s="229"/>
      <c r="I40" s="228"/>
      <c r="J40" s="242"/>
      <c r="K40" s="226"/>
      <c r="L40" s="220" t="s">
        <v>626</v>
      </c>
      <c r="M40" s="257">
        <f>1*4</f>
        <v>4</v>
      </c>
      <c r="N40" s="54" t="s">
        <v>82</v>
      </c>
      <c r="O40" s="56">
        <v>450000</v>
      </c>
      <c r="P40" s="283">
        <f>M40*O40</f>
        <v>1800000</v>
      </c>
      <c r="Q40" s="257">
        <f>1*4</f>
        <v>4</v>
      </c>
      <c r="R40" s="54" t="s">
        <v>82</v>
      </c>
      <c r="S40" s="56">
        <v>450000</v>
      </c>
      <c r="T40" s="283">
        <f>Q40*S40</f>
        <v>1800000</v>
      </c>
      <c r="U40" s="214">
        <f>SUM(T40)-P40</f>
        <v>0</v>
      </c>
      <c r="V40" s="179">
        <f>U40/P40*100</f>
        <v>0</v>
      </c>
    </row>
    <row r="41" spans="2:22" x14ac:dyDescent="0.3">
      <c r="B41" s="225"/>
      <c r="C41" s="226"/>
      <c r="D41" s="226"/>
      <c r="E41" s="231"/>
      <c r="F41" s="226"/>
      <c r="G41" s="229"/>
      <c r="H41" s="229"/>
      <c r="I41" s="228"/>
      <c r="J41" s="242"/>
      <c r="K41" s="226"/>
      <c r="L41" s="221" t="s">
        <v>627</v>
      </c>
      <c r="M41" s="257">
        <f>1*4</f>
        <v>4</v>
      </c>
      <c r="N41" s="54" t="s">
        <v>82</v>
      </c>
      <c r="O41" s="56">
        <v>400000</v>
      </c>
      <c r="P41" s="283">
        <f>M41*O41</f>
        <v>1600000</v>
      </c>
      <c r="Q41" s="257">
        <f>1*4</f>
        <v>4</v>
      </c>
      <c r="R41" s="54" t="s">
        <v>82</v>
      </c>
      <c r="S41" s="56">
        <v>400000</v>
      </c>
      <c r="T41" s="283">
        <f>Q41*S41</f>
        <v>1600000</v>
      </c>
      <c r="U41" s="212"/>
      <c r="V41" s="213"/>
    </row>
    <row r="42" spans="2:22" x14ac:dyDescent="0.3">
      <c r="B42" s="225"/>
      <c r="C42" s="226"/>
      <c r="D42" s="226"/>
      <c r="E42" s="231"/>
      <c r="F42" s="226"/>
      <c r="G42" s="229"/>
      <c r="H42" s="229"/>
      <c r="I42" s="228"/>
      <c r="J42" s="242"/>
      <c r="K42" s="226"/>
      <c r="L42" s="220" t="s">
        <v>628</v>
      </c>
      <c r="M42" s="257">
        <f>7*4</f>
        <v>28</v>
      </c>
      <c r="N42" s="54" t="s">
        <v>82</v>
      </c>
      <c r="O42" s="56">
        <v>350000</v>
      </c>
      <c r="P42" s="283">
        <f>O42*M42</f>
        <v>9800000</v>
      </c>
      <c r="Q42" s="257">
        <f>7*4</f>
        <v>28</v>
      </c>
      <c r="R42" s="54" t="s">
        <v>82</v>
      </c>
      <c r="S42" s="56">
        <v>350000</v>
      </c>
      <c r="T42" s="283">
        <f>S42*Q42</f>
        <v>9800000</v>
      </c>
      <c r="U42" s="214">
        <f>SUM(T42)-P42</f>
        <v>0</v>
      </c>
      <c r="V42" s="213"/>
    </row>
    <row r="43" spans="2:22" x14ac:dyDescent="0.3">
      <c r="B43" s="225"/>
      <c r="C43" s="226"/>
      <c r="D43" s="226"/>
      <c r="E43" s="231"/>
      <c r="F43" s="226"/>
      <c r="G43" s="229"/>
      <c r="H43" s="229"/>
      <c r="I43" s="229"/>
      <c r="J43" s="226"/>
      <c r="K43" s="226"/>
      <c r="L43" s="222"/>
      <c r="M43" s="258"/>
      <c r="N43" s="54"/>
      <c r="O43" s="56"/>
      <c r="P43" s="143"/>
      <c r="Q43" s="258"/>
      <c r="R43" s="54"/>
      <c r="S43" s="56"/>
      <c r="T43" s="143"/>
      <c r="U43" s="214">
        <f>SUM(T43)-P43</f>
        <v>0</v>
      </c>
      <c r="V43" s="213"/>
    </row>
    <row r="44" spans="2:22" x14ac:dyDescent="0.3">
      <c r="B44" s="225">
        <v>1</v>
      </c>
      <c r="C44" s="226" t="s">
        <v>444</v>
      </c>
      <c r="D44" s="226" t="s">
        <v>84</v>
      </c>
      <c r="E44" s="227">
        <v>15</v>
      </c>
      <c r="F44" s="227" t="s">
        <v>84</v>
      </c>
      <c r="G44" s="228">
        <v>5</v>
      </c>
      <c r="H44" s="228">
        <v>2</v>
      </c>
      <c r="I44" s="229">
        <v>1</v>
      </c>
      <c r="J44" s="226" t="s">
        <v>87</v>
      </c>
      <c r="K44" s="226"/>
      <c r="L44" s="286" t="s">
        <v>107</v>
      </c>
      <c r="M44" s="258"/>
      <c r="N44" s="54"/>
      <c r="O44" s="56"/>
      <c r="P44" s="142">
        <f>P45</f>
        <v>800000</v>
      </c>
      <c r="Q44" s="258"/>
      <c r="R44" s="54"/>
      <c r="S44" s="56"/>
      <c r="T44" s="142">
        <f>T45</f>
        <v>800000</v>
      </c>
      <c r="U44" s="214">
        <f>SUM(T44)-P44</f>
        <v>0</v>
      </c>
      <c r="V44" s="213"/>
    </row>
    <row r="45" spans="2:22" x14ac:dyDescent="0.3">
      <c r="B45" s="225">
        <v>1</v>
      </c>
      <c r="C45" s="226" t="s">
        <v>444</v>
      </c>
      <c r="D45" s="226" t="s">
        <v>84</v>
      </c>
      <c r="E45" s="227">
        <v>15</v>
      </c>
      <c r="F45" s="227" t="s">
        <v>84</v>
      </c>
      <c r="G45" s="228">
        <v>5</v>
      </c>
      <c r="H45" s="228">
        <v>2</v>
      </c>
      <c r="I45" s="229">
        <v>1</v>
      </c>
      <c r="J45" s="226" t="s">
        <v>87</v>
      </c>
      <c r="K45" s="226" t="s">
        <v>97</v>
      </c>
      <c r="L45" s="222" t="s">
        <v>503</v>
      </c>
      <c r="M45" s="258"/>
      <c r="N45" s="54"/>
      <c r="O45" s="56"/>
      <c r="P45" s="143">
        <f>SUM(P46:P49)</f>
        <v>800000</v>
      </c>
      <c r="Q45" s="258"/>
      <c r="R45" s="54"/>
      <c r="S45" s="56"/>
      <c r="T45" s="143">
        <f>SUM(T46:T49)</f>
        <v>800000</v>
      </c>
      <c r="U45" s="214">
        <f>SUM(T45)-P45</f>
        <v>0</v>
      </c>
      <c r="V45" s="213"/>
    </row>
    <row r="46" spans="2:22" ht="26" x14ac:dyDescent="0.3">
      <c r="B46" s="225"/>
      <c r="C46" s="226"/>
      <c r="D46" s="226"/>
      <c r="E46" s="231"/>
      <c r="F46" s="226"/>
      <c r="G46" s="229"/>
      <c r="H46" s="229"/>
      <c r="I46" s="229"/>
      <c r="J46" s="226"/>
      <c r="K46" s="226"/>
      <c r="L46" s="287" t="s">
        <v>629</v>
      </c>
      <c r="M46" s="258">
        <v>2</v>
      </c>
      <c r="N46" s="258" t="s">
        <v>189</v>
      </c>
      <c r="O46" s="288">
        <v>100000</v>
      </c>
      <c r="P46" s="289">
        <f>M46*O46</f>
        <v>200000</v>
      </c>
      <c r="Q46" s="258">
        <v>2</v>
      </c>
      <c r="R46" s="258" t="s">
        <v>189</v>
      </c>
      <c r="S46" s="288">
        <v>100000</v>
      </c>
      <c r="T46" s="289">
        <f>Q46*S46</f>
        <v>200000</v>
      </c>
      <c r="U46" s="214"/>
      <c r="V46" s="213"/>
    </row>
    <row r="47" spans="2:22" ht="26" x14ac:dyDescent="0.3">
      <c r="B47" s="225"/>
      <c r="C47" s="226"/>
      <c r="D47" s="226"/>
      <c r="E47" s="231"/>
      <c r="F47" s="226"/>
      <c r="G47" s="229"/>
      <c r="H47" s="229"/>
      <c r="I47" s="229"/>
      <c r="J47" s="226"/>
      <c r="K47" s="226"/>
      <c r="L47" s="287" t="s">
        <v>630</v>
      </c>
      <c r="M47" s="258">
        <v>2</v>
      </c>
      <c r="N47" s="258" t="s">
        <v>189</v>
      </c>
      <c r="O47" s="288">
        <v>100000</v>
      </c>
      <c r="P47" s="289">
        <f>M47*O47</f>
        <v>200000</v>
      </c>
      <c r="Q47" s="258">
        <v>2</v>
      </c>
      <c r="R47" s="258" t="s">
        <v>189</v>
      </c>
      <c r="S47" s="288">
        <v>100000</v>
      </c>
      <c r="T47" s="289">
        <f>Q47*S47</f>
        <v>200000</v>
      </c>
      <c r="U47" s="212"/>
      <c r="V47" s="213"/>
    </row>
    <row r="48" spans="2:22" ht="26" x14ac:dyDescent="0.3">
      <c r="B48" s="225"/>
      <c r="C48" s="226"/>
      <c r="D48" s="226"/>
      <c r="E48" s="231"/>
      <c r="F48" s="226"/>
      <c r="G48" s="229"/>
      <c r="H48" s="229"/>
      <c r="I48" s="229"/>
      <c r="J48" s="226"/>
      <c r="K48" s="226"/>
      <c r="L48" s="287" t="s">
        <v>631</v>
      </c>
      <c r="M48" s="258">
        <v>2</v>
      </c>
      <c r="N48" s="258" t="s">
        <v>189</v>
      </c>
      <c r="O48" s="288">
        <v>100000</v>
      </c>
      <c r="P48" s="289">
        <f>M48*O48</f>
        <v>200000</v>
      </c>
      <c r="Q48" s="258">
        <v>2</v>
      </c>
      <c r="R48" s="258" t="s">
        <v>189</v>
      </c>
      <c r="S48" s="288">
        <v>100000</v>
      </c>
      <c r="T48" s="289">
        <f>Q48*S48</f>
        <v>200000</v>
      </c>
      <c r="U48" s="214">
        <f>SUM(T48)-P48</f>
        <v>0</v>
      </c>
      <c r="V48" s="211">
        <f>U48/P48*100</f>
        <v>0</v>
      </c>
    </row>
    <row r="49" spans="2:22" ht="26" x14ac:dyDescent="0.3">
      <c r="B49" s="225"/>
      <c r="C49" s="226"/>
      <c r="D49" s="226"/>
      <c r="E49" s="231"/>
      <c r="F49" s="226"/>
      <c r="G49" s="229"/>
      <c r="H49" s="229"/>
      <c r="I49" s="229"/>
      <c r="J49" s="226"/>
      <c r="K49" s="226"/>
      <c r="L49" s="287" t="s">
        <v>632</v>
      </c>
      <c r="M49" s="258">
        <v>2</v>
      </c>
      <c r="N49" s="290" t="s">
        <v>189</v>
      </c>
      <c r="O49" s="291">
        <v>100000</v>
      </c>
      <c r="P49" s="292">
        <f>M49*O49</f>
        <v>200000</v>
      </c>
      <c r="Q49" s="258">
        <v>2</v>
      </c>
      <c r="R49" s="290" t="s">
        <v>189</v>
      </c>
      <c r="S49" s="291">
        <v>100000</v>
      </c>
      <c r="T49" s="292">
        <f>Q49*S49</f>
        <v>200000</v>
      </c>
      <c r="U49" s="214">
        <f>SUM(T49)-P49</f>
        <v>0</v>
      </c>
      <c r="V49" s="179">
        <f>U49/P49*100</f>
        <v>0</v>
      </c>
    </row>
    <row r="50" spans="2:22" x14ac:dyDescent="0.3">
      <c r="B50" s="225"/>
      <c r="C50" s="226"/>
      <c r="D50" s="226"/>
      <c r="E50" s="231"/>
      <c r="F50" s="226"/>
      <c r="G50" s="229"/>
      <c r="H50" s="229"/>
      <c r="I50" s="229"/>
      <c r="J50" s="226"/>
      <c r="K50" s="226"/>
      <c r="L50" s="293"/>
      <c r="M50" s="258"/>
      <c r="N50" s="290"/>
      <c r="O50" s="294"/>
      <c r="P50" s="295"/>
      <c r="Q50" s="258"/>
      <c r="R50" s="290"/>
      <c r="S50" s="294"/>
      <c r="T50" s="295"/>
      <c r="U50" s="212"/>
      <c r="V50" s="213"/>
    </row>
    <row r="51" spans="2:22" ht="13.5" customHeight="1" x14ac:dyDescent="0.3">
      <c r="B51" s="225">
        <v>1</v>
      </c>
      <c r="C51" s="226" t="s">
        <v>444</v>
      </c>
      <c r="D51" s="226" t="s">
        <v>84</v>
      </c>
      <c r="E51" s="227">
        <v>15</v>
      </c>
      <c r="F51" s="227" t="s">
        <v>84</v>
      </c>
      <c r="G51" s="229">
        <v>5</v>
      </c>
      <c r="H51" s="229">
        <v>2</v>
      </c>
      <c r="I51" s="229">
        <v>2</v>
      </c>
      <c r="J51" s="226"/>
      <c r="K51" s="226"/>
      <c r="L51" s="244" t="s">
        <v>64</v>
      </c>
      <c r="M51" s="296"/>
      <c r="N51" s="297"/>
      <c r="O51" s="298"/>
      <c r="P51" s="299">
        <f>SUM(P52+P59+P65+P73)</f>
        <v>10783930</v>
      </c>
      <c r="Q51" s="296"/>
      <c r="R51" s="297"/>
      <c r="S51" s="298"/>
      <c r="T51" s="299">
        <f>SUM(T52+T59+T65+T73)</f>
        <v>10783930</v>
      </c>
      <c r="U51" s="214">
        <f>SUM(T51)-P51</f>
        <v>0</v>
      </c>
      <c r="V51" s="213"/>
    </row>
    <row r="52" spans="2:22" ht="13.5" customHeight="1" x14ac:dyDescent="0.35">
      <c r="B52" s="225">
        <v>1</v>
      </c>
      <c r="C52" s="226" t="s">
        <v>444</v>
      </c>
      <c r="D52" s="226" t="s">
        <v>84</v>
      </c>
      <c r="E52" s="227">
        <v>15</v>
      </c>
      <c r="F52" s="227" t="s">
        <v>84</v>
      </c>
      <c r="G52" s="228">
        <v>5</v>
      </c>
      <c r="H52" s="228">
        <v>2</v>
      </c>
      <c r="I52" s="228">
        <v>2</v>
      </c>
      <c r="J52" s="227" t="s">
        <v>84</v>
      </c>
      <c r="K52" s="229"/>
      <c r="L52" s="223" t="s">
        <v>55</v>
      </c>
      <c r="M52" s="267"/>
      <c r="N52" s="59"/>
      <c r="O52" s="58"/>
      <c r="P52" s="300">
        <f>P53</f>
        <v>413780</v>
      </c>
      <c r="Q52" s="267"/>
      <c r="R52" s="59"/>
      <c r="S52" s="58"/>
      <c r="T52" s="300">
        <f>T53</f>
        <v>413780</v>
      </c>
      <c r="U52" s="214">
        <f>SUM(T52)-P52</f>
        <v>0</v>
      </c>
      <c r="V52" s="213"/>
    </row>
    <row r="53" spans="2:22" ht="13.5" customHeight="1" x14ac:dyDescent="0.3">
      <c r="B53" s="225">
        <v>1</v>
      </c>
      <c r="C53" s="226" t="s">
        <v>444</v>
      </c>
      <c r="D53" s="226" t="s">
        <v>84</v>
      </c>
      <c r="E53" s="227">
        <v>15</v>
      </c>
      <c r="F53" s="227" t="s">
        <v>84</v>
      </c>
      <c r="G53" s="228">
        <v>5</v>
      </c>
      <c r="H53" s="228">
        <v>2</v>
      </c>
      <c r="I53" s="228">
        <v>2</v>
      </c>
      <c r="J53" s="227" t="s">
        <v>84</v>
      </c>
      <c r="K53" s="227" t="s">
        <v>84</v>
      </c>
      <c r="L53" s="224" t="s">
        <v>70</v>
      </c>
      <c r="M53" s="267"/>
      <c r="N53" s="54"/>
      <c r="O53" s="57"/>
      <c r="P53" s="301">
        <f>SUM(P54:P57)</f>
        <v>413780</v>
      </c>
      <c r="Q53" s="267"/>
      <c r="R53" s="54"/>
      <c r="S53" s="57"/>
      <c r="T53" s="301">
        <f>SUM(T54:T57)</f>
        <v>413780</v>
      </c>
      <c r="U53" s="214">
        <f>SUM(T53)-P53</f>
        <v>0</v>
      </c>
      <c r="V53" s="213"/>
    </row>
    <row r="54" spans="2:22" ht="12" customHeight="1" x14ac:dyDescent="0.3">
      <c r="B54" s="225"/>
      <c r="C54" s="226"/>
      <c r="D54" s="226"/>
      <c r="E54" s="231"/>
      <c r="F54" s="226"/>
      <c r="G54" s="229"/>
      <c r="H54" s="229"/>
      <c r="I54" s="229"/>
      <c r="J54" s="226"/>
      <c r="K54" s="226"/>
      <c r="L54" s="287" t="s">
        <v>633</v>
      </c>
      <c r="M54" s="267">
        <v>5</v>
      </c>
      <c r="N54" s="53" t="s">
        <v>89</v>
      </c>
      <c r="O54" s="55">
        <v>69550</v>
      </c>
      <c r="P54" s="301">
        <f>O54*M54</f>
        <v>347750</v>
      </c>
      <c r="Q54" s="267">
        <v>5</v>
      </c>
      <c r="R54" s="53" t="s">
        <v>89</v>
      </c>
      <c r="S54" s="55">
        <v>69550</v>
      </c>
      <c r="T54" s="301">
        <f>S54*Q54</f>
        <v>347750</v>
      </c>
      <c r="U54" s="214">
        <f>SUM(T54)-P54</f>
        <v>0</v>
      </c>
      <c r="V54" s="213"/>
    </row>
    <row r="55" spans="2:22" ht="13.5" customHeight="1" x14ac:dyDescent="0.3">
      <c r="B55" s="225"/>
      <c r="C55" s="226"/>
      <c r="D55" s="226"/>
      <c r="E55" s="231"/>
      <c r="F55" s="226"/>
      <c r="G55" s="229"/>
      <c r="H55" s="229"/>
      <c r="I55" s="229"/>
      <c r="J55" s="226"/>
      <c r="K55" s="226"/>
      <c r="L55" s="287" t="s">
        <v>634</v>
      </c>
      <c r="M55" s="258">
        <v>2</v>
      </c>
      <c r="N55" s="54" t="s">
        <v>445</v>
      </c>
      <c r="O55" s="56">
        <v>12800</v>
      </c>
      <c r="P55" s="301">
        <f>M55*O55</f>
        <v>25600</v>
      </c>
      <c r="Q55" s="258">
        <v>2</v>
      </c>
      <c r="R55" s="54" t="s">
        <v>445</v>
      </c>
      <c r="S55" s="56">
        <v>12800</v>
      </c>
      <c r="T55" s="301">
        <f>Q55*S55</f>
        <v>25600</v>
      </c>
      <c r="U55" s="212"/>
      <c r="V55" s="213"/>
    </row>
    <row r="56" spans="2:22" ht="13.5" customHeight="1" x14ac:dyDescent="0.3">
      <c r="B56" s="225"/>
      <c r="C56" s="226"/>
      <c r="D56" s="226"/>
      <c r="E56" s="227"/>
      <c r="F56" s="227"/>
      <c r="G56" s="228"/>
      <c r="H56" s="228"/>
      <c r="I56" s="228"/>
      <c r="J56" s="226"/>
      <c r="K56" s="229"/>
      <c r="L56" s="302" t="s">
        <v>635</v>
      </c>
      <c r="M56" s="267">
        <v>1</v>
      </c>
      <c r="N56" s="54" t="s">
        <v>445</v>
      </c>
      <c r="O56" s="57">
        <v>19250</v>
      </c>
      <c r="P56" s="301">
        <f>O56*M56</f>
        <v>19250</v>
      </c>
      <c r="Q56" s="267">
        <v>1</v>
      </c>
      <c r="R56" s="54" t="s">
        <v>445</v>
      </c>
      <c r="S56" s="57">
        <v>19250</v>
      </c>
      <c r="T56" s="301">
        <f>S56*Q56</f>
        <v>19250</v>
      </c>
      <c r="U56" s="212"/>
      <c r="V56" s="213"/>
    </row>
    <row r="57" spans="2:22" ht="13.5" customHeight="1" x14ac:dyDescent="0.3">
      <c r="B57" s="225"/>
      <c r="C57" s="226"/>
      <c r="D57" s="226"/>
      <c r="E57" s="227"/>
      <c r="F57" s="227"/>
      <c r="G57" s="228"/>
      <c r="H57" s="228"/>
      <c r="I57" s="228"/>
      <c r="J57" s="226"/>
      <c r="K57" s="226"/>
      <c r="L57" s="303" t="s">
        <v>636</v>
      </c>
      <c r="M57" s="267">
        <v>2</v>
      </c>
      <c r="N57" s="53" t="s">
        <v>577</v>
      </c>
      <c r="O57" s="55">
        <v>10590</v>
      </c>
      <c r="P57" s="301">
        <f>O57*M57</f>
        <v>21180</v>
      </c>
      <c r="Q57" s="267">
        <v>2</v>
      </c>
      <c r="R57" s="53" t="s">
        <v>577</v>
      </c>
      <c r="S57" s="55">
        <v>10590</v>
      </c>
      <c r="T57" s="301">
        <f>S57*Q57</f>
        <v>21180</v>
      </c>
      <c r="U57" s="214">
        <f>SUM(T57)-P57</f>
        <v>0</v>
      </c>
      <c r="V57" s="213"/>
    </row>
    <row r="58" spans="2:22" ht="12.65" customHeight="1" x14ac:dyDescent="0.3">
      <c r="B58" s="225"/>
      <c r="C58" s="226"/>
      <c r="D58" s="226"/>
      <c r="E58" s="231"/>
      <c r="F58" s="231"/>
      <c r="G58" s="229"/>
      <c r="H58" s="229"/>
      <c r="I58" s="229"/>
      <c r="J58" s="226"/>
      <c r="K58" s="226"/>
      <c r="L58" s="224"/>
      <c r="M58" s="267"/>
      <c r="N58" s="54"/>
      <c r="O58" s="57"/>
      <c r="P58" s="301"/>
      <c r="Q58" s="267"/>
      <c r="R58" s="54"/>
      <c r="S58" s="57"/>
      <c r="T58" s="301"/>
      <c r="U58" s="214">
        <f>SUM(T58)-P58</f>
        <v>0</v>
      </c>
      <c r="V58" s="213"/>
    </row>
    <row r="59" spans="2:22" ht="13.5" customHeight="1" x14ac:dyDescent="0.3">
      <c r="B59" s="225">
        <v>1</v>
      </c>
      <c r="C59" s="226" t="s">
        <v>444</v>
      </c>
      <c r="D59" s="226" t="s">
        <v>84</v>
      </c>
      <c r="E59" s="227">
        <v>15</v>
      </c>
      <c r="F59" s="227" t="s">
        <v>84</v>
      </c>
      <c r="G59" s="229">
        <v>5</v>
      </c>
      <c r="H59" s="229">
        <v>2</v>
      </c>
      <c r="I59" s="229">
        <v>2</v>
      </c>
      <c r="J59" s="227" t="s">
        <v>97</v>
      </c>
      <c r="K59" s="226"/>
      <c r="L59" s="304" t="s">
        <v>57</v>
      </c>
      <c r="M59" s="267"/>
      <c r="N59" s="53"/>
      <c r="O59" s="55"/>
      <c r="P59" s="300">
        <f>P60</f>
        <v>7550000</v>
      </c>
      <c r="Q59" s="267"/>
      <c r="R59" s="53"/>
      <c r="S59" s="55"/>
      <c r="T59" s="300">
        <f>T60</f>
        <v>7550000</v>
      </c>
      <c r="U59" s="214">
        <f>SUM(T59)-P59</f>
        <v>0</v>
      </c>
      <c r="V59" s="213"/>
    </row>
    <row r="60" spans="2:22" ht="13.5" customHeight="1" x14ac:dyDescent="0.3">
      <c r="B60" s="225">
        <v>1</v>
      </c>
      <c r="C60" s="226" t="s">
        <v>444</v>
      </c>
      <c r="D60" s="226" t="s">
        <v>84</v>
      </c>
      <c r="E60" s="227">
        <v>15</v>
      </c>
      <c r="F60" s="227" t="s">
        <v>84</v>
      </c>
      <c r="G60" s="229">
        <v>5</v>
      </c>
      <c r="H60" s="229">
        <v>2</v>
      </c>
      <c r="I60" s="229">
        <v>2</v>
      </c>
      <c r="J60" s="227" t="s">
        <v>97</v>
      </c>
      <c r="K60" s="226">
        <v>27</v>
      </c>
      <c r="L60" s="303" t="s">
        <v>467</v>
      </c>
      <c r="M60" s="305"/>
      <c r="N60" s="305"/>
      <c r="O60" s="306"/>
      <c r="P60" s="301">
        <f>SUM(P61:P63)</f>
        <v>7550000</v>
      </c>
      <c r="Q60" s="305"/>
      <c r="R60" s="305"/>
      <c r="S60" s="306"/>
      <c r="T60" s="301">
        <f>SUM(T61:T63)</f>
        <v>7550000</v>
      </c>
      <c r="U60" s="214"/>
      <c r="V60" s="213"/>
    </row>
    <row r="61" spans="2:22" ht="13.5" customHeight="1" x14ac:dyDescent="0.3">
      <c r="B61" s="225"/>
      <c r="C61" s="226"/>
      <c r="D61" s="226"/>
      <c r="E61" s="231"/>
      <c r="F61" s="231"/>
      <c r="G61" s="229"/>
      <c r="H61" s="229"/>
      <c r="I61" s="229"/>
      <c r="J61" s="226"/>
      <c r="K61" s="226"/>
      <c r="L61" s="303" t="s">
        <v>637</v>
      </c>
      <c r="M61" s="267">
        <f>2*2*1</f>
        <v>4</v>
      </c>
      <c r="N61" s="53" t="s">
        <v>454</v>
      </c>
      <c r="O61" s="55">
        <v>300000</v>
      </c>
      <c r="P61" s="307">
        <f>O61*M61</f>
        <v>1200000</v>
      </c>
      <c r="Q61" s="267">
        <f>2*2*1</f>
        <v>4</v>
      </c>
      <c r="R61" s="53" t="s">
        <v>454</v>
      </c>
      <c r="S61" s="55">
        <v>300000</v>
      </c>
      <c r="T61" s="307">
        <f>S61*Q61</f>
        <v>1200000</v>
      </c>
      <c r="U61" s="214"/>
      <c r="V61" s="213"/>
    </row>
    <row r="62" spans="2:22" ht="13.5" customHeight="1" x14ac:dyDescent="0.3">
      <c r="B62" s="225"/>
      <c r="C62" s="226"/>
      <c r="D62" s="226"/>
      <c r="E62" s="231"/>
      <c r="F62" s="231"/>
      <c r="G62" s="229"/>
      <c r="H62" s="229"/>
      <c r="I62" s="229"/>
      <c r="J62" s="226"/>
      <c r="K62" s="226"/>
      <c r="L62" s="220" t="s">
        <v>638</v>
      </c>
      <c r="M62" s="267">
        <f>2*5*2</f>
        <v>20</v>
      </c>
      <c r="N62" s="267" t="s">
        <v>454</v>
      </c>
      <c r="O62" s="250">
        <v>300000</v>
      </c>
      <c r="P62" s="307">
        <f>O62*M62</f>
        <v>6000000</v>
      </c>
      <c r="Q62" s="267">
        <f>2*5*2</f>
        <v>20</v>
      </c>
      <c r="R62" s="267" t="s">
        <v>454</v>
      </c>
      <c r="S62" s="250">
        <v>300000</v>
      </c>
      <c r="T62" s="307">
        <f>S62*Q62</f>
        <v>6000000</v>
      </c>
      <c r="U62" s="214"/>
      <c r="V62" s="213"/>
    </row>
    <row r="63" spans="2:22" ht="13.5" customHeight="1" x14ac:dyDescent="0.3">
      <c r="B63" s="225"/>
      <c r="C63" s="226"/>
      <c r="D63" s="226"/>
      <c r="E63" s="231"/>
      <c r="F63" s="231"/>
      <c r="G63" s="229"/>
      <c r="H63" s="229"/>
      <c r="I63" s="229"/>
      <c r="J63" s="226"/>
      <c r="K63" s="226"/>
      <c r="L63" s="303" t="s">
        <v>639</v>
      </c>
      <c r="M63" s="267">
        <f>1*2*5</f>
        <v>10</v>
      </c>
      <c r="N63" s="267" t="s">
        <v>454</v>
      </c>
      <c r="O63" s="250">
        <v>35000</v>
      </c>
      <c r="P63" s="301">
        <f>O63*M63</f>
        <v>350000</v>
      </c>
      <c r="Q63" s="267">
        <f>1*2*5</f>
        <v>10</v>
      </c>
      <c r="R63" s="267" t="s">
        <v>454</v>
      </c>
      <c r="S63" s="250">
        <v>35000</v>
      </c>
      <c r="T63" s="301">
        <f>S63*Q63</f>
        <v>350000</v>
      </c>
      <c r="U63" s="214"/>
      <c r="V63" s="213"/>
    </row>
    <row r="64" spans="2:22" ht="13.5" customHeight="1" x14ac:dyDescent="0.3">
      <c r="B64" s="225"/>
      <c r="C64" s="226"/>
      <c r="D64" s="226"/>
      <c r="E64" s="231"/>
      <c r="F64" s="231"/>
      <c r="G64" s="229"/>
      <c r="H64" s="229"/>
      <c r="I64" s="229"/>
      <c r="J64" s="226"/>
      <c r="K64" s="226"/>
      <c r="L64" s="303"/>
      <c r="M64" s="267"/>
      <c r="N64" s="53"/>
      <c r="O64" s="55"/>
      <c r="P64" s="301"/>
      <c r="Q64" s="267"/>
      <c r="R64" s="53"/>
      <c r="S64" s="55"/>
      <c r="T64" s="301"/>
      <c r="U64" s="214"/>
      <c r="V64" s="213"/>
    </row>
    <row r="65" spans="2:23" ht="13.5" customHeight="1" x14ac:dyDescent="0.3">
      <c r="B65" s="225">
        <v>1</v>
      </c>
      <c r="C65" s="226" t="s">
        <v>444</v>
      </c>
      <c r="D65" s="226" t="s">
        <v>84</v>
      </c>
      <c r="E65" s="227">
        <v>15</v>
      </c>
      <c r="F65" s="227" t="s">
        <v>84</v>
      </c>
      <c r="G65" s="229">
        <v>5</v>
      </c>
      <c r="H65" s="229">
        <v>2</v>
      </c>
      <c r="I65" s="229">
        <v>2</v>
      </c>
      <c r="J65" s="227" t="s">
        <v>86</v>
      </c>
      <c r="K65" s="226"/>
      <c r="L65" s="308" t="s">
        <v>60</v>
      </c>
      <c r="M65" s="267"/>
      <c r="N65" s="53"/>
      <c r="O65" s="55"/>
      <c r="P65" s="300">
        <f>P66+P70</f>
        <v>1320150</v>
      </c>
      <c r="Q65" s="267"/>
      <c r="R65" s="53"/>
      <c r="S65" s="55"/>
      <c r="T65" s="300">
        <f>T66+T70</f>
        <v>1320150</v>
      </c>
      <c r="U65" s="214"/>
      <c r="V65" s="213"/>
    </row>
    <row r="66" spans="2:23" ht="13.5" customHeight="1" x14ac:dyDescent="0.3">
      <c r="B66" s="225">
        <v>1</v>
      </c>
      <c r="C66" s="226" t="s">
        <v>444</v>
      </c>
      <c r="D66" s="226" t="s">
        <v>84</v>
      </c>
      <c r="E66" s="227">
        <v>15</v>
      </c>
      <c r="F66" s="227" t="s">
        <v>84</v>
      </c>
      <c r="G66" s="229">
        <v>5</v>
      </c>
      <c r="H66" s="229">
        <v>2</v>
      </c>
      <c r="I66" s="229">
        <v>2</v>
      </c>
      <c r="J66" s="227" t="s">
        <v>86</v>
      </c>
      <c r="K66" s="227" t="s">
        <v>84</v>
      </c>
      <c r="L66" s="303" t="s">
        <v>77</v>
      </c>
      <c r="M66" s="267"/>
      <c r="N66" s="53"/>
      <c r="O66" s="55"/>
      <c r="P66" s="301">
        <f>SUM(P67:P68)</f>
        <v>820000</v>
      </c>
      <c r="Q66" s="267"/>
      <c r="R66" s="53"/>
      <c r="S66" s="55"/>
      <c r="T66" s="301">
        <f>SUM(T67:T68)</f>
        <v>820000</v>
      </c>
      <c r="U66" s="214"/>
      <c r="V66" s="213"/>
    </row>
    <row r="67" spans="2:23" ht="13.5" customHeight="1" x14ac:dyDescent="0.3">
      <c r="B67" s="225"/>
      <c r="C67" s="226"/>
      <c r="D67" s="226"/>
      <c r="E67" s="231"/>
      <c r="F67" s="226"/>
      <c r="G67" s="229"/>
      <c r="H67" s="229"/>
      <c r="I67" s="229"/>
      <c r="J67" s="229"/>
      <c r="K67" s="226"/>
      <c r="L67" s="287" t="s">
        <v>640</v>
      </c>
      <c r="M67" s="309">
        <v>40</v>
      </c>
      <c r="N67" s="309" t="s">
        <v>231</v>
      </c>
      <c r="O67" s="310">
        <v>12500</v>
      </c>
      <c r="P67" s="311">
        <f>M67*O67</f>
        <v>500000</v>
      </c>
      <c r="Q67" s="309">
        <v>40</v>
      </c>
      <c r="R67" s="309" t="s">
        <v>231</v>
      </c>
      <c r="S67" s="310">
        <v>12500</v>
      </c>
      <c r="T67" s="311">
        <f>Q67*S67</f>
        <v>500000</v>
      </c>
      <c r="U67" s="214">
        <f>SUM(T67)-P67</f>
        <v>0</v>
      </c>
      <c r="V67" s="213"/>
    </row>
    <row r="68" spans="2:23" ht="13.5" customHeight="1" x14ac:dyDescent="0.3">
      <c r="B68" s="245"/>
      <c r="C68" s="246"/>
      <c r="D68" s="246"/>
      <c r="E68" s="247"/>
      <c r="F68" s="246"/>
      <c r="G68" s="248"/>
      <c r="H68" s="229"/>
      <c r="I68" s="229"/>
      <c r="J68" s="229"/>
      <c r="K68" s="246"/>
      <c r="L68" s="312" t="s">
        <v>641</v>
      </c>
      <c r="M68" s="309">
        <v>4</v>
      </c>
      <c r="N68" s="60" t="s">
        <v>199</v>
      </c>
      <c r="O68" s="61">
        <v>80000</v>
      </c>
      <c r="P68" s="301">
        <f>M68*O68</f>
        <v>320000</v>
      </c>
      <c r="Q68" s="309">
        <v>4</v>
      </c>
      <c r="R68" s="60" t="s">
        <v>199</v>
      </c>
      <c r="S68" s="61">
        <v>80000</v>
      </c>
      <c r="T68" s="301">
        <f>Q68*S68</f>
        <v>320000</v>
      </c>
      <c r="U68" s="214">
        <f>SUM(T68)-P68</f>
        <v>0</v>
      </c>
      <c r="V68" s="213"/>
    </row>
    <row r="69" spans="2:23" ht="13.5" customHeight="1" x14ac:dyDescent="0.3">
      <c r="B69" s="245"/>
      <c r="C69" s="246"/>
      <c r="D69" s="246"/>
      <c r="E69" s="247"/>
      <c r="F69" s="246"/>
      <c r="G69" s="248"/>
      <c r="H69" s="229"/>
      <c r="I69" s="229"/>
      <c r="J69" s="229"/>
      <c r="K69" s="246"/>
      <c r="L69" s="313"/>
      <c r="M69" s="314"/>
      <c r="N69" s="315"/>
      <c r="O69" s="316"/>
      <c r="P69" s="301"/>
      <c r="Q69" s="314"/>
      <c r="R69" s="315"/>
      <c r="S69" s="316"/>
      <c r="T69" s="301"/>
      <c r="U69" s="214"/>
      <c r="V69" s="213"/>
    </row>
    <row r="70" spans="2:23" ht="13.5" customHeight="1" x14ac:dyDescent="0.35">
      <c r="B70" s="225">
        <v>1</v>
      </c>
      <c r="C70" s="226" t="s">
        <v>444</v>
      </c>
      <c r="D70" s="226" t="s">
        <v>84</v>
      </c>
      <c r="E70" s="227">
        <v>15</v>
      </c>
      <c r="F70" s="227" t="s">
        <v>84</v>
      </c>
      <c r="G70" s="229">
        <v>5</v>
      </c>
      <c r="H70" s="229">
        <v>2</v>
      </c>
      <c r="I70" s="229">
        <v>2</v>
      </c>
      <c r="J70" s="227" t="s">
        <v>86</v>
      </c>
      <c r="K70" s="227" t="s">
        <v>87</v>
      </c>
      <c r="L70" s="230" t="s">
        <v>65</v>
      </c>
      <c r="M70" s="267"/>
      <c r="N70" s="59"/>
      <c r="O70" s="58"/>
      <c r="P70" s="301">
        <f>P71</f>
        <v>500150</v>
      </c>
      <c r="Q70" s="267"/>
      <c r="R70" s="59"/>
      <c r="S70" s="58"/>
      <c r="T70" s="301">
        <f>T71</f>
        <v>500150</v>
      </c>
      <c r="U70" s="214"/>
      <c r="V70" s="213"/>
    </row>
    <row r="71" spans="2:23" ht="13.5" customHeight="1" x14ac:dyDescent="0.3">
      <c r="B71" s="225"/>
      <c r="C71" s="226"/>
      <c r="D71" s="226"/>
      <c r="E71" s="227"/>
      <c r="F71" s="227"/>
      <c r="G71" s="228"/>
      <c r="H71" s="228"/>
      <c r="I71" s="228"/>
      <c r="J71" s="226"/>
      <c r="K71" s="226"/>
      <c r="L71" s="254" t="s">
        <v>642</v>
      </c>
      <c r="M71" s="250">
        <v>1429</v>
      </c>
      <c r="N71" s="54" t="s">
        <v>231</v>
      </c>
      <c r="O71" s="56">
        <v>350</v>
      </c>
      <c r="P71" s="301">
        <f>M71*O71</f>
        <v>500150</v>
      </c>
      <c r="Q71" s="250">
        <v>1429</v>
      </c>
      <c r="R71" s="54" t="s">
        <v>231</v>
      </c>
      <c r="S71" s="56">
        <v>350</v>
      </c>
      <c r="T71" s="301">
        <f>Q71*S71</f>
        <v>500150</v>
      </c>
      <c r="U71" s="214"/>
      <c r="V71" s="213"/>
    </row>
    <row r="72" spans="2:23" ht="13.5" customHeight="1" x14ac:dyDescent="0.3">
      <c r="B72" s="225"/>
      <c r="C72" s="226"/>
      <c r="D72" s="226"/>
      <c r="E72" s="231"/>
      <c r="F72" s="231"/>
      <c r="G72" s="229"/>
      <c r="H72" s="229"/>
      <c r="I72" s="229"/>
      <c r="J72" s="226"/>
      <c r="K72" s="226"/>
      <c r="L72" s="224"/>
      <c r="M72" s="267"/>
      <c r="N72" s="54"/>
      <c r="O72" s="57"/>
      <c r="P72" s="317"/>
      <c r="Q72" s="267"/>
      <c r="R72" s="54"/>
      <c r="S72" s="57"/>
      <c r="T72" s="317"/>
      <c r="U72" s="214"/>
      <c r="V72" s="213"/>
    </row>
    <row r="73" spans="2:23" ht="13.5" customHeight="1" x14ac:dyDescent="0.3">
      <c r="B73" s="225">
        <v>1</v>
      </c>
      <c r="C73" s="226" t="s">
        <v>444</v>
      </c>
      <c r="D73" s="226" t="s">
        <v>84</v>
      </c>
      <c r="E73" s="227">
        <v>15</v>
      </c>
      <c r="F73" s="227" t="s">
        <v>84</v>
      </c>
      <c r="G73" s="229">
        <v>5</v>
      </c>
      <c r="H73" s="229">
        <v>2</v>
      </c>
      <c r="I73" s="229">
        <v>2</v>
      </c>
      <c r="J73" s="227">
        <v>11</v>
      </c>
      <c r="K73" s="227"/>
      <c r="L73" s="304" t="s">
        <v>187</v>
      </c>
      <c r="M73" s="267"/>
      <c r="N73" s="53"/>
      <c r="O73" s="55"/>
      <c r="P73" s="300">
        <f>P74</f>
        <v>1500000</v>
      </c>
      <c r="Q73" s="267"/>
      <c r="R73" s="53"/>
      <c r="S73" s="55"/>
      <c r="T73" s="300">
        <f>T74</f>
        <v>1500000</v>
      </c>
      <c r="U73" s="214"/>
      <c r="V73" s="213"/>
    </row>
    <row r="74" spans="2:23" ht="13.5" customHeight="1" x14ac:dyDescent="0.3">
      <c r="B74" s="225">
        <v>1</v>
      </c>
      <c r="C74" s="226" t="s">
        <v>444</v>
      </c>
      <c r="D74" s="226" t="s">
        <v>84</v>
      </c>
      <c r="E74" s="227">
        <v>15</v>
      </c>
      <c r="F74" s="227" t="s">
        <v>84</v>
      </c>
      <c r="G74" s="229">
        <v>5</v>
      </c>
      <c r="H74" s="229">
        <v>2</v>
      </c>
      <c r="I74" s="229">
        <v>2</v>
      </c>
      <c r="J74" s="227">
        <v>11</v>
      </c>
      <c r="K74" s="227" t="s">
        <v>87</v>
      </c>
      <c r="L74" s="303" t="s">
        <v>643</v>
      </c>
      <c r="M74" s="267"/>
      <c r="N74" s="53"/>
      <c r="O74" s="55"/>
      <c r="P74" s="318">
        <f>P75+P76</f>
        <v>1500000</v>
      </c>
      <c r="Q74" s="267"/>
      <c r="R74" s="53"/>
      <c r="S74" s="55"/>
      <c r="T74" s="318">
        <f>T75+T76</f>
        <v>1500000</v>
      </c>
      <c r="U74" s="214"/>
      <c r="V74" s="213"/>
    </row>
    <row r="75" spans="2:23" ht="13.5" customHeight="1" x14ac:dyDescent="0.3">
      <c r="B75" s="225"/>
      <c r="C75" s="226"/>
      <c r="D75" s="226"/>
      <c r="E75" s="231"/>
      <c r="F75" s="231"/>
      <c r="G75" s="229"/>
      <c r="H75" s="229"/>
      <c r="I75" s="229"/>
      <c r="J75" s="226"/>
      <c r="K75" s="226"/>
      <c r="L75" s="303" t="s">
        <v>644</v>
      </c>
      <c r="M75" s="267">
        <f>2*25</f>
        <v>50</v>
      </c>
      <c r="N75" s="53" t="s">
        <v>189</v>
      </c>
      <c r="O75" s="55">
        <v>15000</v>
      </c>
      <c r="P75" s="319">
        <f>M75*O75</f>
        <v>750000</v>
      </c>
      <c r="Q75" s="267">
        <f>2*25</f>
        <v>50</v>
      </c>
      <c r="R75" s="53" t="s">
        <v>189</v>
      </c>
      <c r="S75" s="55">
        <v>15000</v>
      </c>
      <c r="T75" s="319">
        <f>Q75*S75</f>
        <v>750000</v>
      </c>
      <c r="U75" s="214"/>
      <c r="V75" s="213"/>
    </row>
    <row r="76" spans="2:23" ht="13.5" customHeight="1" x14ac:dyDescent="0.3">
      <c r="B76" s="225"/>
      <c r="C76" s="226"/>
      <c r="D76" s="226"/>
      <c r="E76" s="231"/>
      <c r="F76" s="231"/>
      <c r="G76" s="229"/>
      <c r="H76" s="229"/>
      <c r="I76" s="229"/>
      <c r="J76" s="226"/>
      <c r="K76" s="226"/>
      <c r="L76" s="303" t="s">
        <v>645</v>
      </c>
      <c r="M76" s="267">
        <f>2*2*25</f>
        <v>100</v>
      </c>
      <c r="N76" s="53" t="s">
        <v>189</v>
      </c>
      <c r="O76" s="55">
        <v>7500</v>
      </c>
      <c r="P76" s="320">
        <f>O76*M76</f>
        <v>750000</v>
      </c>
      <c r="Q76" s="267">
        <f>2*2*25</f>
        <v>100</v>
      </c>
      <c r="R76" s="53" t="s">
        <v>189</v>
      </c>
      <c r="S76" s="55">
        <v>7500</v>
      </c>
      <c r="T76" s="320">
        <f>S76*Q76</f>
        <v>750000</v>
      </c>
      <c r="U76" s="214">
        <f>SUM(T76)-P76</f>
        <v>0</v>
      </c>
      <c r="V76" s="213"/>
    </row>
    <row r="77" spans="2:23" x14ac:dyDescent="0.3">
      <c r="B77" s="262"/>
      <c r="C77" s="263"/>
      <c r="D77" s="263"/>
      <c r="E77" s="266"/>
      <c r="F77" s="266"/>
      <c r="G77" s="264"/>
      <c r="H77" s="264"/>
      <c r="I77" s="265"/>
      <c r="J77" s="263"/>
      <c r="K77" s="263"/>
      <c r="L77" s="171"/>
      <c r="M77" s="172"/>
      <c r="N77" s="172"/>
      <c r="O77" s="173"/>
      <c r="P77" s="94"/>
      <c r="Q77" s="174"/>
      <c r="R77" s="174"/>
      <c r="S77" s="175"/>
      <c r="T77" s="91"/>
      <c r="U77" s="176"/>
      <c r="V77" s="177"/>
    </row>
    <row r="78" spans="2:23" ht="14.5" thickBot="1" x14ac:dyDescent="0.35">
      <c r="B78" s="3101" t="s">
        <v>15</v>
      </c>
      <c r="C78" s="3102"/>
      <c r="D78" s="3102"/>
      <c r="E78" s="3102"/>
      <c r="F78" s="3102"/>
      <c r="G78" s="3102"/>
      <c r="H78" s="3102"/>
      <c r="I78" s="3102"/>
      <c r="J78" s="3102"/>
      <c r="K78" s="3102"/>
      <c r="L78" s="3102"/>
      <c r="M78" s="3102"/>
      <c r="N78" s="3102"/>
      <c r="O78" s="3102"/>
      <c r="P78" s="96">
        <f>P28</f>
        <v>27783930</v>
      </c>
      <c r="Q78" s="3103"/>
      <c r="R78" s="3104"/>
      <c r="S78" s="3105"/>
      <c r="T78" s="95">
        <f>T28</f>
        <v>27783930</v>
      </c>
      <c r="U78" s="178">
        <f>SUM(U28:U76)</f>
        <v>0</v>
      </c>
      <c r="V78" s="179">
        <f>U78/P78*100</f>
        <v>0</v>
      </c>
    </row>
    <row r="79" spans="2:23" ht="13.5" thickTop="1" x14ac:dyDescent="0.3">
      <c r="B79" s="3106"/>
      <c r="C79" s="3107"/>
      <c r="D79" s="3107"/>
      <c r="E79" s="3107"/>
      <c r="F79" s="3107"/>
      <c r="G79" s="3107"/>
      <c r="H79" s="3107"/>
      <c r="I79" s="3107"/>
      <c r="J79" s="3107"/>
      <c r="K79" s="3107"/>
      <c r="L79" s="3107"/>
      <c r="M79" s="3107"/>
      <c r="N79" s="3107"/>
      <c r="O79" s="3107"/>
      <c r="P79" s="3107"/>
      <c r="Q79" s="3107"/>
      <c r="R79" s="3107"/>
      <c r="S79" s="3107"/>
      <c r="T79" s="3107"/>
      <c r="U79" s="3107"/>
      <c r="V79" s="3108"/>
    </row>
    <row r="80" spans="2:23" ht="12.75" customHeight="1" x14ac:dyDescent="0.3">
      <c r="B80" s="9"/>
      <c r="C80" s="3"/>
      <c r="D80" s="3"/>
      <c r="E80" s="3"/>
      <c r="F80" s="3"/>
      <c r="G80" s="3"/>
      <c r="H80" s="3"/>
      <c r="I80" s="3"/>
      <c r="J80" s="3"/>
      <c r="K80" s="3"/>
      <c r="L80" s="180"/>
      <c r="Q80" s="268"/>
      <c r="S80" s="3109" t="str">
        <f>'E-Gov Infrastruktur'!S142:U142</f>
        <v>Banda Aceh,               2020</v>
      </c>
      <c r="T80" s="3109"/>
      <c r="U80" s="3109"/>
      <c r="V80" s="181"/>
      <c r="W80" s="182"/>
    </row>
    <row r="81" spans="2:23" x14ac:dyDescent="0.3">
      <c r="B81" s="9"/>
      <c r="C81" s="3"/>
      <c r="D81" s="3"/>
      <c r="E81" s="3"/>
      <c r="F81" s="3"/>
      <c r="G81" s="3"/>
      <c r="H81" s="3"/>
      <c r="I81" s="3"/>
      <c r="J81" s="3"/>
      <c r="K81" s="3"/>
      <c r="L81" s="274" t="str">
        <f>'E-Gov Infrastruktur'!L143</f>
        <v>Mengesahkan,</v>
      </c>
      <c r="Q81" s="268"/>
      <c r="S81" s="3110" t="str">
        <f>'E-Gov Infrastruktur'!S143:U143</f>
        <v>Pengguna Anggaran</v>
      </c>
      <c r="T81" s="3110"/>
      <c r="U81" s="3110"/>
      <c r="V81" s="183"/>
      <c r="W81" s="184"/>
    </row>
    <row r="82" spans="2:23" ht="12.75" customHeight="1" x14ac:dyDescent="0.3">
      <c r="B82" s="9"/>
      <c r="C82" s="3"/>
      <c r="D82" s="3"/>
      <c r="E82" s="3"/>
      <c r="F82" s="3"/>
      <c r="G82" s="3"/>
      <c r="H82" s="3"/>
      <c r="I82" s="3"/>
      <c r="J82" s="3"/>
      <c r="K82" s="3"/>
      <c r="L82" s="274" t="str">
        <f>'E-Gov Infrastruktur'!L144</f>
        <v>Pejabat Pengelola Keuangan Daerah</v>
      </c>
      <c r="Q82" s="268"/>
      <c r="S82" s="3110" t="str">
        <f>'E-Gov Infrastruktur'!S144:U144</f>
        <v xml:space="preserve"> Satuan Kerja Perangkat Daerah </v>
      </c>
      <c r="T82" s="3110"/>
      <c r="U82" s="3110"/>
      <c r="V82" s="183"/>
      <c r="W82" s="184"/>
    </row>
    <row r="83" spans="2:23" x14ac:dyDescent="0.3">
      <c r="B83" s="9"/>
      <c r="C83" s="3"/>
      <c r="D83" s="3"/>
      <c r="E83" s="3"/>
      <c r="F83" s="3"/>
      <c r="G83" s="3"/>
      <c r="H83" s="3"/>
      <c r="I83" s="3"/>
      <c r="J83" s="3"/>
      <c r="K83" s="3"/>
      <c r="L83" s="269"/>
      <c r="Q83" s="268"/>
      <c r="S83" s="185"/>
      <c r="T83" s="186"/>
      <c r="U83" s="186"/>
      <c r="V83" s="187"/>
      <c r="W83" s="188"/>
    </row>
    <row r="84" spans="2:23" x14ac:dyDescent="0.3">
      <c r="B84" s="9"/>
      <c r="C84" s="3"/>
      <c r="D84" s="3"/>
      <c r="E84" s="3"/>
      <c r="F84" s="3"/>
      <c r="G84" s="3"/>
      <c r="H84" s="3"/>
      <c r="I84" s="3"/>
      <c r="J84" s="3"/>
      <c r="K84" s="3"/>
      <c r="L84" s="269"/>
      <c r="Q84" s="268"/>
      <c r="S84" s="185"/>
      <c r="T84" s="185"/>
      <c r="U84" s="185"/>
      <c r="V84" s="189"/>
      <c r="W84" s="190"/>
    </row>
    <row r="85" spans="2:23" x14ac:dyDescent="0.3">
      <c r="B85" s="9"/>
      <c r="C85" s="3"/>
      <c r="D85" s="3"/>
      <c r="E85" s="3"/>
      <c r="F85" s="3"/>
      <c r="G85" s="3"/>
      <c r="H85" s="3"/>
      <c r="I85" s="3"/>
      <c r="J85" s="3"/>
      <c r="K85" s="3"/>
      <c r="L85" s="191"/>
      <c r="Q85" s="268"/>
      <c r="S85" s="185"/>
      <c r="T85" s="186"/>
      <c r="U85" s="186"/>
      <c r="V85" s="187"/>
      <c r="W85" s="188"/>
    </row>
    <row r="86" spans="2:23" ht="14" x14ac:dyDescent="0.3">
      <c r="B86" s="9"/>
      <c r="C86" s="3"/>
      <c r="D86" s="3"/>
      <c r="E86" s="3"/>
      <c r="F86" s="3"/>
      <c r="G86" s="3"/>
      <c r="H86" s="3"/>
      <c r="I86" s="3"/>
      <c r="J86" s="3"/>
      <c r="K86" s="3"/>
      <c r="L86" s="192" t="str">
        <f>'E-Gov Infrastruktur'!L148</f>
        <v>M. Iqbal Rokan, S.STP.</v>
      </c>
      <c r="Q86" s="268"/>
      <c r="S86" s="3111" t="str">
        <f>'E-Gov Infrastruktur'!S148:U148</f>
        <v>Bustami, SH</v>
      </c>
      <c r="T86" s="3111"/>
      <c r="U86" s="3111"/>
      <c r="V86" s="193"/>
      <c r="W86" s="194"/>
    </row>
    <row r="87" spans="2:23" x14ac:dyDescent="0.3">
      <c r="B87" s="9"/>
      <c r="C87" s="3"/>
      <c r="D87" s="3"/>
      <c r="E87" s="3"/>
      <c r="F87" s="3"/>
      <c r="G87" s="3"/>
      <c r="H87" s="3"/>
      <c r="I87" s="3"/>
      <c r="J87" s="3"/>
      <c r="K87" s="3"/>
      <c r="L87" s="274" t="str">
        <f>'E-Gov Infrastruktur'!L149</f>
        <v>Nip. 19780505 199810 1 001</v>
      </c>
      <c r="Q87" s="268"/>
      <c r="S87" s="3110" t="str">
        <f>'E-Gov Infrastruktur'!S149:U149</f>
        <v>Pembina Utama Muda / Nip. 196308241987031004</v>
      </c>
      <c r="T87" s="3110"/>
      <c r="U87" s="3110"/>
      <c r="V87" s="183"/>
      <c r="W87" s="184"/>
    </row>
    <row r="88" spans="2:23" x14ac:dyDescent="0.3">
      <c r="B88" s="9"/>
      <c r="C88" s="3"/>
      <c r="D88" s="3"/>
      <c r="E88" s="3"/>
      <c r="F88" s="3"/>
      <c r="G88" s="3"/>
      <c r="H88" s="3"/>
      <c r="I88" s="3"/>
      <c r="J88" s="3"/>
      <c r="K88" s="3"/>
      <c r="L88" s="274"/>
      <c r="Q88" s="268"/>
      <c r="S88" s="274"/>
      <c r="T88" s="274"/>
      <c r="U88" s="274"/>
      <c r="V88" s="195"/>
      <c r="W88" s="180"/>
    </row>
    <row r="89" spans="2:23" ht="14.25" customHeight="1" x14ac:dyDescent="0.3">
      <c r="B89" s="3112" t="s">
        <v>286</v>
      </c>
      <c r="C89" s="3113"/>
      <c r="D89" s="3113"/>
      <c r="E89" s="3113"/>
      <c r="F89" s="3113"/>
      <c r="G89" s="3113"/>
      <c r="H89" s="3113"/>
      <c r="I89" s="3113"/>
      <c r="J89" s="3113"/>
      <c r="K89" s="3113"/>
      <c r="L89" s="3113"/>
      <c r="M89" s="3114" t="s">
        <v>145</v>
      </c>
      <c r="N89" s="3115"/>
      <c r="O89" s="3115"/>
      <c r="P89" s="3115"/>
      <c r="Q89" s="3115"/>
      <c r="R89" s="3115"/>
      <c r="S89" s="3115"/>
      <c r="T89" s="3115"/>
      <c r="U89" s="3115"/>
      <c r="V89" s="3116"/>
    </row>
    <row r="90" spans="2:23" ht="14.25" customHeight="1" x14ac:dyDescent="0.3">
      <c r="B90" s="3093"/>
      <c r="C90" s="3094"/>
      <c r="D90" s="3094"/>
      <c r="E90" s="3094"/>
      <c r="F90" s="3094"/>
      <c r="G90" s="3094"/>
      <c r="H90" s="3094"/>
      <c r="I90" s="3094"/>
      <c r="J90" s="3094"/>
      <c r="K90" s="3094"/>
      <c r="L90" s="3095"/>
      <c r="M90" s="273" t="s">
        <v>142</v>
      </c>
      <c r="N90" s="3015"/>
      <c r="O90" s="3015"/>
      <c r="P90" s="3015"/>
      <c r="Q90" s="3096" t="s">
        <v>143</v>
      </c>
      <c r="R90" s="3096"/>
      <c r="S90" s="3096"/>
      <c r="T90" s="276" t="s">
        <v>144</v>
      </c>
      <c r="U90" s="3096" t="s">
        <v>146</v>
      </c>
      <c r="V90" s="3097"/>
    </row>
    <row r="91" spans="2:23" ht="14.25" customHeight="1" x14ac:dyDescent="0.3">
      <c r="B91" s="3117" t="s">
        <v>293</v>
      </c>
      <c r="C91" s="3118"/>
      <c r="D91" s="3118"/>
      <c r="E91" s="3118"/>
      <c r="F91" s="3118"/>
      <c r="G91" s="3118"/>
      <c r="H91" s="3118"/>
      <c r="I91" s="3118"/>
      <c r="J91" s="3118"/>
      <c r="K91" s="3118"/>
      <c r="L91" s="196">
        <v>0</v>
      </c>
      <c r="M91" s="197">
        <v>1</v>
      </c>
      <c r="N91" s="3119" t="str">
        <f>'E-Gov Infrastruktur'!N153:P153</f>
        <v>Weri, SE. MA</v>
      </c>
      <c r="O91" s="3120"/>
      <c r="P91" s="3120"/>
      <c r="Q91" s="3121" t="str">
        <f>'E-Gov Infrastruktur'!Q153:S153</f>
        <v>19640525 198903 1 026</v>
      </c>
      <c r="R91" s="3122"/>
      <c r="S91" s="3123"/>
      <c r="T91" s="198" t="s">
        <v>302</v>
      </c>
      <c r="U91" s="199" t="s">
        <v>287</v>
      </c>
      <c r="V91" s="200"/>
    </row>
    <row r="92" spans="2:23" ht="14" x14ac:dyDescent="0.3">
      <c r="B92" s="3117" t="s">
        <v>294</v>
      </c>
      <c r="C92" s="3118"/>
      <c r="D92" s="3118"/>
      <c r="E92" s="3118"/>
      <c r="F92" s="3118"/>
      <c r="G92" s="3118"/>
      <c r="H92" s="3118"/>
      <c r="I92" s="3118"/>
      <c r="J92" s="3118"/>
      <c r="K92" s="3118"/>
      <c r="L92" s="196">
        <v>0</v>
      </c>
      <c r="M92" s="197">
        <v>2</v>
      </c>
      <c r="N92" s="3124" t="str">
        <f>'E-Gov Infrastruktur'!N154:P154</f>
        <v>Azmi, SH</v>
      </c>
      <c r="O92" s="3125"/>
      <c r="P92" s="3125"/>
      <c r="Q92" s="3121" t="str">
        <f>'E-Gov Infrastruktur'!Q154:S154</f>
        <v>19680824 199903 1 004</v>
      </c>
      <c r="R92" s="3122"/>
      <c r="S92" s="3123"/>
      <c r="T92" s="198" t="s">
        <v>303</v>
      </c>
      <c r="U92" s="201"/>
      <c r="V92" s="202" t="s">
        <v>128</v>
      </c>
    </row>
    <row r="93" spans="2:23" ht="14" x14ac:dyDescent="0.3">
      <c r="B93" s="3117" t="s">
        <v>295</v>
      </c>
      <c r="C93" s="3118"/>
      <c r="D93" s="3118"/>
      <c r="E93" s="3118"/>
      <c r="F93" s="3118"/>
      <c r="G93" s="3118"/>
      <c r="H93" s="3118"/>
      <c r="I93" s="3118"/>
      <c r="J93" s="3118"/>
      <c r="K93" s="3118"/>
      <c r="L93" s="196">
        <v>0</v>
      </c>
      <c r="M93" s="203">
        <v>3</v>
      </c>
      <c r="N93" s="3124" t="str">
        <f>'E-Gov Infrastruktur'!N155:P155</f>
        <v>Muhammad Syaifuddin Ambia, ST, MT</v>
      </c>
      <c r="O93" s="3125"/>
      <c r="P93" s="3125"/>
      <c r="Q93" s="3121" t="str">
        <f>'E-Gov Infrastruktur'!Q155:S155</f>
        <v>19741010 200604 1 003</v>
      </c>
      <c r="R93" s="3122"/>
      <c r="S93" s="3123"/>
      <c r="T93" s="198" t="s">
        <v>304</v>
      </c>
      <c r="U93" s="204" t="s">
        <v>292</v>
      </c>
      <c r="V93" s="200"/>
    </row>
    <row r="94" spans="2:23" ht="15" customHeight="1" x14ac:dyDescent="0.3">
      <c r="B94" s="3117" t="s">
        <v>296</v>
      </c>
      <c r="C94" s="3118"/>
      <c r="D94" s="3118"/>
      <c r="E94" s="3118"/>
      <c r="F94" s="3118"/>
      <c r="G94" s="3118"/>
      <c r="H94" s="3118"/>
      <c r="I94" s="3118"/>
      <c r="J94" s="3118"/>
      <c r="K94" s="3118"/>
      <c r="L94" s="196">
        <v>0</v>
      </c>
      <c r="M94" s="197">
        <v>4</v>
      </c>
      <c r="N94" s="3124" t="str">
        <f>'E-Gov Infrastruktur'!N156:P156</f>
        <v>Basri, SE, M.Si</v>
      </c>
      <c r="O94" s="3125"/>
      <c r="P94" s="3125"/>
      <c r="Q94" s="3121" t="str">
        <f>'E-Gov Infrastruktur'!Q156:S156</f>
        <v>19691213 199403 1 002</v>
      </c>
      <c r="R94" s="3122"/>
      <c r="S94" s="3123"/>
      <c r="T94" s="198" t="s">
        <v>305</v>
      </c>
      <c r="U94" s="201"/>
      <c r="V94" s="202" t="s">
        <v>288</v>
      </c>
    </row>
    <row r="95" spans="2:23" ht="14" x14ac:dyDescent="0.3">
      <c r="B95" s="3117" t="s">
        <v>297</v>
      </c>
      <c r="C95" s="3118"/>
      <c r="D95" s="3118"/>
      <c r="E95" s="3118"/>
      <c r="F95" s="3118"/>
      <c r="G95" s="3118"/>
      <c r="H95" s="3118"/>
      <c r="I95" s="3118"/>
      <c r="J95" s="3118"/>
      <c r="K95" s="3118"/>
      <c r="L95" s="205">
        <f>SUM(L91:L94)</f>
        <v>0</v>
      </c>
      <c r="M95" s="206">
        <v>5</v>
      </c>
      <c r="N95" s="3124" t="str">
        <f>'E-Gov Infrastruktur'!N157:P157</f>
        <v>Dewi Shinta Reza, SE. Ak</v>
      </c>
      <c r="O95" s="3125"/>
      <c r="P95" s="3125"/>
      <c r="Q95" s="3121" t="str">
        <f>'E-Gov Infrastruktur'!Q157:S157</f>
        <v>19750630 200212 2 003</v>
      </c>
      <c r="R95" s="3122"/>
      <c r="S95" s="3123"/>
      <c r="T95" s="198" t="s">
        <v>306</v>
      </c>
      <c r="U95" s="204" t="s">
        <v>289</v>
      </c>
      <c r="V95" s="200"/>
    </row>
    <row r="96" spans="2:23" ht="13.5" customHeight="1" x14ac:dyDescent="0.3">
      <c r="B96" s="3093"/>
      <c r="C96" s="3094"/>
      <c r="D96" s="3094"/>
      <c r="E96" s="3094"/>
      <c r="F96" s="3094"/>
      <c r="G96" s="3094"/>
      <c r="H96" s="3094"/>
      <c r="I96" s="3094"/>
      <c r="J96" s="3094"/>
      <c r="K96" s="3094"/>
      <c r="L96" s="3095"/>
      <c r="M96" s="206">
        <v>6</v>
      </c>
      <c r="N96" s="3119" t="str">
        <f>'E-Gov Infrastruktur'!N158:P158</f>
        <v>Harisman, S.STP, M.Ec.Dev</v>
      </c>
      <c r="O96" s="3120"/>
      <c r="P96" s="3120"/>
      <c r="Q96" s="3121" t="str">
        <f>'E-Gov Infrastruktur'!Q158:S158</f>
        <v>19830101 200112 1 003</v>
      </c>
      <c r="R96" s="3122"/>
      <c r="S96" s="3123"/>
      <c r="T96" s="198" t="s">
        <v>307</v>
      </c>
      <c r="U96" s="201"/>
      <c r="V96" s="202" t="s">
        <v>290</v>
      </c>
    </row>
    <row r="97" spans="2:22" ht="14.5" thickBot="1" x14ac:dyDescent="0.35">
      <c r="B97" s="3126"/>
      <c r="C97" s="3127"/>
      <c r="D97" s="3127"/>
      <c r="E97" s="3127"/>
      <c r="F97" s="3127"/>
      <c r="G97" s="3127"/>
      <c r="H97" s="3127"/>
      <c r="I97" s="3127"/>
      <c r="J97" s="3127"/>
      <c r="K97" s="3127"/>
      <c r="L97" s="3128"/>
      <c r="M97" s="207">
        <v>7</v>
      </c>
      <c r="N97" s="3129" t="str">
        <f>'E-Gov Infrastruktur'!N159:P159</f>
        <v>Alriandi, S.STP, M.Si</v>
      </c>
      <c r="O97" s="3130"/>
      <c r="P97" s="3130"/>
      <c r="Q97" s="3131" t="str">
        <f>'E-Gov Infrastruktur'!Q159:S159</f>
        <v>19830308 200112 1 001</v>
      </c>
      <c r="R97" s="3132"/>
      <c r="S97" s="3133"/>
      <c r="T97" s="208" t="s">
        <v>308</v>
      </c>
      <c r="U97" s="209" t="s">
        <v>291</v>
      </c>
      <c r="V97" s="210"/>
    </row>
    <row r="98" spans="2:22" ht="13.5" thickTop="1" x14ac:dyDescent="0.3">
      <c r="B98" s="268"/>
      <c r="C98" s="268"/>
      <c r="D98" s="268"/>
      <c r="E98" s="268"/>
      <c r="F98" s="268"/>
      <c r="G98" s="268"/>
      <c r="H98" s="268"/>
      <c r="I98" s="268"/>
      <c r="J98" s="268"/>
      <c r="K98" s="268"/>
      <c r="L98" s="268"/>
      <c r="M98" s="268"/>
      <c r="N98" s="268"/>
      <c r="O98" s="268"/>
      <c r="P98" s="268"/>
    </row>
    <row r="99" spans="2:22" x14ac:dyDescent="0.3">
      <c r="B99" s="268"/>
      <c r="C99" s="268"/>
      <c r="D99" s="268"/>
      <c r="E99" s="268"/>
      <c r="F99" s="268"/>
      <c r="G99" s="268"/>
      <c r="H99" s="268"/>
      <c r="I99" s="268"/>
      <c r="J99" s="268"/>
      <c r="K99" s="268"/>
      <c r="L99" s="268"/>
      <c r="M99" s="268"/>
      <c r="N99" s="268"/>
      <c r="O99" s="268"/>
      <c r="P99" s="268"/>
    </row>
    <row r="100" spans="2:22" x14ac:dyDescent="0.3">
      <c r="B100" s="268"/>
      <c r="C100" s="268"/>
      <c r="D100" s="268"/>
      <c r="E100" s="268"/>
      <c r="F100" s="268"/>
      <c r="G100" s="268"/>
      <c r="H100" s="268"/>
      <c r="I100" s="268"/>
      <c r="J100" s="268"/>
      <c r="K100" s="268"/>
      <c r="L100" s="268"/>
      <c r="M100" s="268"/>
      <c r="N100" s="268"/>
      <c r="O100" s="268"/>
      <c r="P100" s="268"/>
    </row>
    <row r="101" spans="2:22" x14ac:dyDescent="0.3">
      <c r="B101" s="268"/>
      <c r="C101" s="268"/>
      <c r="D101" s="268"/>
      <c r="E101" s="268"/>
      <c r="F101" s="268"/>
      <c r="G101" s="268"/>
      <c r="H101" s="268"/>
      <c r="I101" s="268"/>
      <c r="J101" s="268"/>
      <c r="K101" s="268"/>
      <c r="L101" s="268"/>
      <c r="M101" s="268"/>
      <c r="N101" s="268"/>
      <c r="O101" s="268"/>
      <c r="P101" s="268"/>
    </row>
    <row r="102" spans="2:22" x14ac:dyDescent="0.3">
      <c r="B102" s="268"/>
      <c r="C102" s="268"/>
      <c r="D102" s="268"/>
      <c r="E102" s="268"/>
      <c r="F102" s="268"/>
      <c r="G102" s="268"/>
      <c r="H102" s="268"/>
      <c r="I102" s="268"/>
      <c r="J102" s="268"/>
      <c r="K102" s="268"/>
      <c r="L102" s="268"/>
      <c r="M102" s="268"/>
      <c r="N102" s="268"/>
      <c r="O102" s="268"/>
      <c r="P102" s="268"/>
    </row>
    <row r="103" spans="2:22" x14ac:dyDescent="0.3">
      <c r="B103" s="268"/>
      <c r="C103" s="268"/>
      <c r="D103" s="268"/>
      <c r="E103" s="268"/>
      <c r="F103" s="268"/>
      <c r="G103" s="268"/>
      <c r="H103" s="268"/>
      <c r="I103" s="268"/>
      <c r="J103" s="268"/>
      <c r="K103" s="268"/>
      <c r="L103" s="268"/>
      <c r="M103" s="268"/>
      <c r="N103" s="268"/>
      <c r="O103" s="268"/>
      <c r="P103" s="268"/>
    </row>
    <row r="104" spans="2:22" x14ac:dyDescent="0.3">
      <c r="B104" s="268"/>
      <c r="C104" s="268"/>
      <c r="D104" s="268"/>
      <c r="E104" s="268"/>
      <c r="F104" s="268"/>
      <c r="G104" s="268"/>
      <c r="H104" s="268"/>
      <c r="I104" s="268"/>
      <c r="J104" s="268"/>
      <c r="K104" s="268"/>
      <c r="L104" s="268"/>
      <c r="M104" s="268"/>
      <c r="N104" s="268"/>
      <c r="O104" s="268"/>
      <c r="P104" s="268"/>
    </row>
    <row r="105" spans="2:22" x14ac:dyDescent="0.3">
      <c r="B105" s="268"/>
      <c r="C105" s="268"/>
      <c r="D105" s="268"/>
      <c r="E105" s="268"/>
      <c r="F105" s="268"/>
      <c r="G105" s="268"/>
      <c r="H105" s="268"/>
      <c r="I105" s="268"/>
      <c r="J105" s="268"/>
      <c r="K105" s="268"/>
      <c r="L105" s="268"/>
      <c r="M105" s="268"/>
      <c r="N105" s="268"/>
      <c r="O105" s="268"/>
      <c r="P105" s="268"/>
    </row>
    <row r="106" spans="2:22" x14ac:dyDescent="0.3">
      <c r="B106" s="268"/>
      <c r="C106" s="268"/>
      <c r="D106" s="268"/>
      <c r="E106" s="268"/>
      <c r="F106" s="268"/>
      <c r="G106" s="268"/>
      <c r="H106" s="268"/>
      <c r="I106" s="268"/>
      <c r="J106" s="268"/>
      <c r="K106" s="268"/>
      <c r="L106" s="268"/>
      <c r="M106" s="268"/>
      <c r="N106" s="268"/>
      <c r="O106" s="268"/>
      <c r="P106" s="268"/>
    </row>
    <row r="107" spans="2:22" x14ac:dyDescent="0.3">
      <c r="B107" s="268"/>
      <c r="C107" s="268"/>
      <c r="D107" s="268"/>
      <c r="E107" s="268"/>
      <c r="F107" s="268"/>
      <c r="G107" s="268"/>
      <c r="H107" s="268"/>
      <c r="I107" s="268"/>
      <c r="J107" s="268"/>
      <c r="K107" s="268"/>
      <c r="L107" s="268"/>
      <c r="M107" s="268"/>
      <c r="N107" s="268"/>
      <c r="O107" s="268"/>
      <c r="P107" s="268"/>
    </row>
    <row r="108" spans="2:22" x14ac:dyDescent="0.3">
      <c r="B108" s="268"/>
      <c r="C108" s="268"/>
      <c r="D108" s="268"/>
      <c r="E108" s="268"/>
      <c r="F108" s="268"/>
      <c r="G108" s="268"/>
      <c r="H108" s="268"/>
      <c r="I108" s="268"/>
      <c r="J108" s="268"/>
      <c r="K108" s="268"/>
      <c r="L108" s="268"/>
      <c r="M108" s="268"/>
      <c r="N108" s="268"/>
      <c r="O108" s="268"/>
      <c r="P108" s="268"/>
    </row>
    <row r="109" spans="2:22" x14ac:dyDescent="0.3">
      <c r="B109" s="268"/>
      <c r="C109" s="268"/>
      <c r="D109" s="268"/>
      <c r="E109" s="268"/>
      <c r="F109" s="268"/>
      <c r="G109" s="268"/>
      <c r="H109" s="268"/>
      <c r="I109" s="268"/>
      <c r="J109" s="268"/>
      <c r="K109" s="268"/>
      <c r="L109" s="268"/>
      <c r="M109" s="268"/>
      <c r="N109" s="268"/>
      <c r="O109" s="268"/>
      <c r="P109" s="268"/>
    </row>
    <row r="110" spans="2:22" x14ac:dyDescent="0.3">
      <c r="B110" s="268"/>
      <c r="C110" s="268"/>
      <c r="D110" s="268"/>
      <c r="E110" s="268"/>
      <c r="F110" s="268"/>
      <c r="G110" s="268"/>
      <c r="H110" s="268"/>
      <c r="I110" s="268"/>
      <c r="J110" s="268"/>
      <c r="K110" s="268"/>
      <c r="L110" s="268"/>
      <c r="M110" s="268"/>
      <c r="N110" s="268"/>
      <c r="O110" s="268"/>
      <c r="P110" s="268"/>
    </row>
    <row r="111" spans="2:22" x14ac:dyDescent="0.3">
      <c r="B111" s="268"/>
      <c r="C111" s="268"/>
      <c r="D111" s="268"/>
      <c r="E111" s="268"/>
      <c r="F111" s="268"/>
      <c r="G111" s="268"/>
      <c r="H111" s="268"/>
      <c r="I111" s="268"/>
      <c r="J111" s="268"/>
      <c r="K111" s="268"/>
      <c r="L111" s="268"/>
      <c r="M111" s="268"/>
      <c r="N111" s="268"/>
      <c r="O111" s="268"/>
      <c r="P111" s="268"/>
    </row>
    <row r="112" spans="2:22" x14ac:dyDescent="0.3">
      <c r="B112" s="268"/>
      <c r="C112" s="268"/>
      <c r="D112" s="268"/>
      <c r="E112" s="268"/>
      <c r="F112" s="268"/>
      <c r="G112" s="268"/>
      <c r="H112" s="268"/>
      <c r="I112" s="268"/>
      <c r="J112" s="268"/>
      <c r="K112" s="268"/>
      <c r="L112" s="268"/>
      <c r="M112" s="268"/>
      <c r="N112" s="268"/>
      <c r="O112" s="268"/>
      <c r="P112" s="268"/>
    </row>
    <row r="113" spans="2:16" x14ac:dyDescent="0.3">
      <c r="B113" s="268"/>
      <c r="C113" s="268"/>
      <c r="D113" s="268"/>
      <c r="E113" s="268"/>
      <c r="F113" s="268"/>
      <c r="G113" s="268"/>
      <c r="H113" s="268"/>
      <c r="I113" s="268"/>
      <c r="J113" s="268"/>
      <c r="K113" s="268"/>
      <c r="L113" s="268"/>
      <c r="M113" s="268"/>
      <c r="N113" s="268"/>
      <c r="O113" s="268"/>
      <c r="P113" s="268"/>
    </row>
    <row r="114" spans="2:16" x14ac:dyDescent="0.3">
      <c r="B114" s="268"/>
      <c r="C114" s="268"/>
      <c r="D114" s="268"/>
      <c r="E114" s="268"/>
      <c r="F114" s="268"/>
      <c r="G114" s="268"/>
      <c r="H114" s="268"/>
      <c r="I114" s="268"/>
      <c r="J114" s="268"/>
      <c r="K114" s="268"/>
      <c r="L114" s="268"/>
      <c r="M114" s="268"/>
      <c r="N114" s="268"/>
      <c r="O114" s="268"/>
      <c r="P114" s="268"/>
    </row>
  </sheetData>
  <mergeCells count="98">
    <mergeCell ref="B97:L97"/>
    <mergeCell ref="N97:P97"/>
    <mergeCell ref="Q97:S97"/>
    <mergeCell ref="B95:K95"/>
    <mergeCell ref="N95:P95"/>
    <mergeCell ref="Q95:S95"/>
    <mergeCell ref="B96:L96"/>
    <mergeCell ref="N96:P96"/>
    <mergeCell ref="Q96:S96"/>
    <mergeCell ref="B93:K93"/>
    <mergeCell ref="N93:P93"/>
    <mergeCell ref="Q93:S93"/>
    <mergeCell ref="B94:K94"/>
    <mergeCell ref="N94:P94"/>
    <mergeCell ref="Q94:S94"/>
    <mergeCell ref="B91:K91"/>
    <mergeCell ref="N91:P91"/>
    <mergeCell ref="Q91:S91"/>
    <mergeCell ref="B92:K92"/>
    <mergeCell ref="N92:P92"/>
    <mergeCell ref="Q92:S92"/>
    <mergeCell ref="B90:L90"/>
    <mergeCell ref="N90:P90"/>
    <mergeCell ref="Q90:S90"/>
    <mergeCell ref="U90:V90"/>
    <mergeCell ref="B27:K27"/>
    <mergeCell ref="B78:O78"/>
    <mergeCell ref="Q78:S78"/>
    <mergeCell ref="B79:V79"/>
    <mergeCell ref="S80:U80"/>
    <mergeCell ref="S81:U81"/>
    <mergeCell ref="S82:U82"/>
    <mergeCell ref="S86:U86"/>
    <mergeCell ref="S87:U87"/>
    <mergeCell ref="B89:L89"/>
    <mergeCell ref="M89:V89"/>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6:K16"/>
    <mergeCell ref="B11:K11"/>
    <mergeCell ref="M11:V11"/>
    <mergeCell ref="B12:L12"/>
    <mergeCell ref="M12:V12"/>
    <mergeCell ref="B13:V13"/>
    <mergeCell ref="B14:K15"/>
    <mergeCell ref="L14:P14"/>
    <mergeCell ref="Q14:V14"/>
    <mergeCell ref="M15:P15"/>
    <mergeCell ref="Q15:S15"/>
    <mergeCell ref="T15:V15"/>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pageMargins left="0.51181102362204722" right="0.27559055118110237" top="0.51181102362204722" bottom="0.47244094488188981" header="0.31496062992125984" footer="0.31496062992125984"/>
  <pageSetup paperSize="5" scale="61" orientation="landscape" horizontalDpi="4294967293" verticalDpi="4294967293" r:id="rId1"/>
  <rowBreaks count="1" manualBreakCount="1">
    <brk id="50"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4"/>
  <sheetViews>
    <sheetView view="pageBreakPreview" topLeftCell="A18" zoomScale="75" zoomScaleNormal="72" workbookViewId="0">
      <selection activeCell="P32" sqref="P32"/>
    </sheetView>
  </sheetViews>
  <sheetFormatPr defaultColWidth="8.7265625" defaultRowHeight="12.5" x14ac:dyDescent="0.25"/>
  <cols>
    <col min="1" max="1" width="3.269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17.1796875" style="341" customWidth="1"/>
    <col min="17" max="17" width="9" style="341" customWidth="1"/>
    <col min="18" max="18" width="8" style="341" customWidth="1"/>
    <col min="19" max="19" width="15.1796875" style="341" customWidth="1"/>
    <col min="20" max="20" width="30.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3134" t="s">
        <v>990</v>
      </c>
      <c r="T3" s="2966"/>
      <c r="U3" s="2885"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'Pemel PRLTN GDG KTR '!B5:V5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1524"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1525"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1522" t="s">
        <v>991</v>
      </c>
      <c r="M8" s="2948" t="s">
        <v>992</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993</v>
      </c>
      <c r="M9" s="2868" t="s">
        <v>994</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'Pemel PRLTN GDG KTR '!M10:V10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539</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941"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1497" t="s">
        <v>270</v>
      </c>
      <c r="M15" s="2945" t="s">
        <v>281</v>
      </c>
      <c r="N15" s="2943"/>
      <c r="O15" s="2943"/>
      <c r="P15" s="2946"/>
      <c r="Q15" s="2747" t="s">
        <v>270</v>
      </c>
      <c r="R15" s="2747"/>
      <c r="S15" s="2747"/>
      <c r="T15" s="2747" t="s">
        <v>281</v>
      </c>
      <c r="U15" s="2747"/>
      <c r="V15" s="2947"/>
      <c r="W15" s="520"/>
    </row>
    <row r="16" spans="2:24" ht="25" customHeight="1" x14ac:dyDescent="0.25">
      <c r="B16" s="2834" t="s">
        <v>14</v>
      </c>
      <c r="C16" s="2835"/>
      <c r="D16" s="2835"/>
      <c r="E16" s="2835"/>
      <c r="F16" s="2835"/>
      <c r="G16" s="2835"/>
      <c r="H16" s="2835"/>
      <c r="I16" s="2835"/>
      <c r="J16" s="2835"/>
      <c r="K16" s="2883"/>
      <c r="L16" s="734" t="s">
        <v>995</v>
      </c>
      <c r="M16" s="2507" t="str">
        <f>L16</f>
        <v>Persentase pakaian  dinas beserta perlengkapan yang disediakan</v>
      </c>
      <c r="N16" s="2508"/>
      <c r="O16" s="2508"/>
      <c r="P16" s="2886"/>
      <c r="Q16" s="2830">
        <v>1</v>
      </c>
      <c r="R16" s="2616"/>
      <c r="S16" s="2616"/>
      <c r="T16" s="2831">
        <f>Q16</f>
        <v>1</v>
      </c>
      <c r="U16" s="2832"/>
      <c r="V16" s="2833"/>
      <c r="W16" s="522"/>
      <c r="X16" s="523"/>
    </row>
    <row r="17" spans="2:22" ht="14" x14ac:dyDescent="0.25">
      <c r="B17" s="2834" t="s">
        <v>135</v>
      </c>
      <c r="C17" s="2835"/>
      <c r="D17" s="2835"/>
      <c r="E17" s="2835"/>
      <c r="F17" s="2835"/>
      <c r="G17" s="2835"/>
      <c r="H17" s="2835"/>
      <c r="I17" s="2835"/>
      <c r="J17" s="2835"/>
      <c r="K17" s="2883"/>
      <c r="L17" s="811" t="s">
        <v>430</v>
      </c>
      <c r="M17" s="2933" t="str">
        <f>L17</f>
        <v>Jumlah Dana Yang Dibutuhkan</v>
      </c>
      <c r="N17" s="2933"/>
      <c r="O17" s="2933"/>
      <c r="P17" s="2933"/>
      <c r="Q17" s="2934">
        <f>P28</f>
        <v>30800000</v>
      </c>
      <c r="R17" s="2935"/>
      <c r="S17" s="2936"/>
      <c r="T17" s="2937">
        <f>T28</f>
        <v>33000000</v>
      </c>
      <c r="U17" s="2937"/>
      <c r="V17" s="2938"/>
    </row>
    <row r="18" spans="2:22" ht="25" x14ac:dyDescent="0.25">
      <c r="B18" s="2834" t="s">
        <v>136</v>
      </c>
      <c r="C18" s="2835"/>
      <c r="D18" s="2835"/>
      <c r="E18" s="2835"/>
      <c r="F18" s="2835"/>
      <c r="G18" s="2835"/>
      <c r="H18" s="2835"/>
      <c r="I18" s="2835"/>
      <c r="J18" s="2835"/>
      <c r="K18" s="2883"/>
      <c r="L18" s="734" t="s">
        <v>996</v>
      </c>
      <c r="M18" s="2875" t="str">
        <f>L18</f>
        <v>Jumlah Pakaian dinas beserta perlengkapan yang disediakan</v>
      </c>
      <c r="N18" s="2875"/>
      <c r="O18" s="2875"/>
      <c r="P18" s="2875"/>
      <c r="Q18" s="2616" t="s">
        <v>997</v>
      </c>
      <c r="R18" s="2616"/>
      <c r="S18" s="2616"/>
      <c r="T18" s="2831" t="str">
        <f>Q18</f>
        <v>31 stel</v>
      </c>
      <c r="U18" s="2832"/>
      <c r="V18" s="2833"/>
    </row>
    <row r="19" spans="2:22" ht="14" x14ac:dyDescent="0.25">
      <c r="B19" s="2834" t="s">
        <v>137</v>
      </c>
      <c r="C19" s="2835"/>
      <c r="D19" s="2835"/>
      <c r="E19" s="2835"/>
      <c r="F19" s="2835"/>
      <c r="G19" s="2835"/>
      <c r="H19" s="2835"/>
      <c r="I19" s="2835"/>
      <c r="J19" s="2835"/>
      <c r="K19" s="2883"/>
      <c r="L19" s="734" t="s">
        <v>998</v>
      </c>
      <c r="M19" s="2875" t="str">
        <f>L19</f>
        <v>Tingkat keseragaman Pakaian dinas aparatur</v>
      </c>
      <c r="N19" s="2875"/>
      <c r="O19" s="2875"/>
      <c r="P19" s="2875"/>
      <c r="Q19" s="2830">
        <v>1</v>
      </c>
      <c r="R19" s="2616"/>
      <c r="S19" s="2616"/>
      <c r="T19" s="2830">
        <f>Q19</f>
        <v>1</v>
      </c>
      <c r="U19" s="2616"/>
      <c r="V19" s="2837"/>
    </row>
    <row r="20" spans="2:22" ht="14.25" customHeight="1" x14ac:dyDescent="0.25">
      <c r="B20" s="2931" t="s">
        <v>999</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876"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876"/>
      <c r="M23" s="2649" t="s">
        <v>125</v>
      </c>
      <c r="N23" s="2598"/>
      <c r="O23" s="2599"/>
      <c r="P23" s="1490"/>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491" t="s">
        <v>122</v>
      </c>
      <c r="Q24" s="2878" t="s">
        <v>127</v>
      </c>
      <c r="R24" s="2880" t="s">
        <v>8</v>
      </c>
      <c r="S24" s="2880" t="s">
        <v>129</v>
      </c>
      <c r="T24" s="97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491" t="s">
        <v>123</v>
      </c>
      <c r="Q25" s="2879"/>
      <c r="R25" s="2881"/>
      <c r="S25" s="2881"/>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1489"/>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1523" t="s">
        <v>7</v>
      </c>
      <c r="Q27" s="984">
        <v>7</v>
      </c>
      <c r="R27" s="984">
        <v>8</v>
      </c>
      <c r="S27" s="985">
        <v>9</v>
      </c>
      <c r="T27" s="986" t="s">
        <v>275</v>
      </c>
      <c r="U27" s="1519" t="s">
        <v>274</v>
      </c>
      <c r="V27" s="1109">
        <v>12</v>
      </c>
    </row>
    <row r="28" spans="2:22" ht="13" thickTop="1" x14ac:dyDescent="0.25">
      <c r="B28" s="700">
        <v>1</v>
      </c>
      <c r="C28" s="701" t="s">
        <v>239</v>
      </c>
      <c r="D28" s="701" t="s">
        <v>84</v>
      </c>
      <c r="E28" s="702"/>
      <c r="F28" s="703"/>
      <c r="G28" s="704">
        <v>5</v>
      </c>
      <c r="H28" s="704">
        <v>2</v>
      </c>
      <c r="I28" s="704"/>
      <c r="J28" s="704"/>
      <c r="K28" s="704"/>
      <c r="L28" s="1610" t="s">
        <v>54</v>
      </c>
      <c r="M28" s="754"/>
      <c r="N28" s="754"/>
      <c r="O28" s="755"/>
      <c r="P28" s="1621">
        <f>P29</f>
        <v>30800000</v>
      </c>
      <c r="Q28" s="1246"/>
      <c r="R28" s="1246"/>
      <c r="S28" s="1247"/>
      <c r="T28" s="1621">
        <f>T29</f>
        <v>33000000</v>
      </c>
      <c r="U28" s="882">
        <f>SUM(T28)-P28</f>
        <v>2200000</v>
      </c>
      <c r="V28" s="1611">
        <f>U28/T28*100</f>
        <v>6.666666666666667</v>
      </c>
    </row>
    <row r="29" spans="2:22" x14ac:dyDescent="0.25">
      <c r="B29" s="700">
        <v>1</v>
      </c>
      <c r="C29" s="701" t="s">
        <v>239</v>
      </c>
      <c r="D29" s="701" t="s">
        <v>84</v>
      </c>
      <c r="E29" s="708" t="s">
        <v>97</v>
      </c>
      <c r="F29" s="709"/>
      <c r="G29" s="704"/>
      <c r="H29" s="704"/>
      <c r="I29" s="704"/>
      <c r="J29" s="704"/>
      <c r="K29" s="704"/>
      <c r="L29" s="1248" t="s">
        <v>1000</v>
      </c>
      <c r="M29" s="1607"/>
      <c r="N29" s="754"/>
      <c r="O29" s="755"/>
      <c r="P29" s="1622">
        <f>P30</f>
        <v>30800000</v>
      </c>
      <c r="Q29" s="1607"/>
      <c r="R29" s="754"/>
      <c r="S29" s="755"/>
      <c r="T29" s="1622">
        <f>T30</f>
        <v>33000000</v>
      </c>
      <c r="U29" s="675"/>
      <c r="V29" s="761"/>
    </row>
    <row r="30" spans="2:22" ht="25" x14ac:dyDescent="0.25">
      <c r="B30" s="700">
        <v>1</v>
      </c>
      <c r="C30" s="701" t="s">
        <v>239</v>
      </c>
      <c r="D30" s="701" t="s">
        <v>84</v>
      </c>
      <c r="E30" s="708" t="s">
        <v>97</v>
      </c>
      <c r="F30" s="711" t="s">
        <v>87</v>
      </c>
      <c r="G30" s="704"/>
      <c r="H30" s="704"/>
      <c r="I30" s="704"/>
      <c r="J30" s="704"/>
      <c r="K30" s="704"/>
      <c r="L30" s="1267" t="s">
        <v>1006</v>
      </c>
      <c r="M30" s="1607"/>
      <c r="N30" s="754"/>
      <c r="O30" s="755"/>
      <c r="P30" s="1622">
        <f>P32</f>
        <v>30800000</v>
      </c>
      <c r="Q30" s="1607"/>
      <c r="R30" s="754"/>
      <c r="S30" s="755"/>
      <c r="T30" s="1622">
        <f>T32</f>
        <v>33000000</v>
      </c>
      <c r="U30" s="756"/>
      <c r="V30" s="439"/>
    </row>
    <row r="31" spans="2:22" x14ac:dyDescent="0.25">
      <c r="B31" s="700"/>
      <c r="C31" s="701"/>
      <c r="D31" s="701"/>
      <c r="E31" s="708"/>
      <c r="F31" s="711"/>
      <c r="G31" s="704"/>
      <c r="H31" s="704"/>
      <c r="I31" s="704"/>
      <c r="J31" s="704"/>
      <c r="K31" s="704"/>
      <c r="L31" s="1248"/>
      <c r="M31" s="1607"/>
      <c r="N31" s="754"/>
      <c r="O31" s="755"/>
      <c r="P31" s="1620"/>
      <c r="Q31" s="1607"/>
      <c r="R31" s="754"/>
      <c r="S31" s="755"/>
      <c r="T31" s="691"/>
      <c r="U31" s="756"/>
      <c r="V31" s="439"/>
    </row>
    <row r="32" spans="2:22" x14ac:dyDescent="0.25">
      <c r="B32" s="486">
        <v>1</v>
      </c>
      <c r="C32" s="487" t="s">
        <v>239</v>
      </c>
      <c r="D32" s="487" t="s">
        <v>84</v>
      </c>
      <c r="E32" s="493" t="s">
        <v>97</v>
      </c>
      <c r="F32" s="496" t="s">
        <v>87</v>
      </c>
      <c r="G32" s="489">
        <v>5</v>
      </c>
      <c r="H32" s="489">
        <v>2</v>
      </c>
      <c r="I32" s="489">
        <v>2</v>
      </c>
      <c r="J32" s="489"/>
      <c r="K32" s="489"/>
      <c r="L32" s="497" t="s">
        <v>64</v>
      </c>
      <c r="M32" s="1608"/>
      <c r="N32" s="499"/>
      <c r="O32" s="500"/>
      <c r="P32" s="1788">
        <f>P33</f>
        <v>30800000</v>
      </c>
      <c r="Q32" s="1791"/>
      <c r="R32" s="745"/>
      <c r="S32" s="789"/>
      <c r="T32" s="1622">
        <f>T33</f>
        <v>33000000</v>
      </c>
      <c r="U32" s="675"/>
      <c r="V32" s="761"/>
    </row>
    <row r="33" spans="2:23" x14ac:dyDescent="0.25">
      <c r="B33" s="486">
        <v>1</v>
      </c>
      <c r="C33" s="487" t="s">
        <v>239</v>
      </c>
      <c r="D33" s="487" t="s">
        <v>84</v>
      </c>
      <c r="E33" s="493" t="s">
        <v>97</v>
      </c>
      <c r="F33" s="496" t="s">
        <v>87</v>
      </c>
      <c r="G33" s="489">
        <v>5</v>
      </c>
      <c r="H33" s="489">
        <v>2</v>
      </c>
      <c r="I33" s="489">
        <v>2</v>
      </c>
      <c r="J33" s="489">
        <v>12</v>
      </c>
      <c r="K33" s="487"/>
      <c r="L33" s="494" t="s">
        <v>1001</v>
      </c>
      <c r="M33" s="1608"/>
      <c r="N33" s="499"/>
      <c r="O33" s="500"/>
      <c r="P33" s="1788">
        <f>P34</f>
        <v>30800000</v>
      </c>
      <c r="Q33" s="1791"/>
      <c r="R33" s="745"/>
      <c r="S33" s="789"/>
      <c r="T33" s="1622">
        <f>T34</f>
        <v>33000000</v>
      </c>
      <c r="U33" s="675"/>
      <c r="V33" s="761"/>
    </row>
    <row r="34" spans="2:23" x14ac:dyDescent="0.25">
      <c r="B34" s="486">
        <v>1</v>
      </c>
      <c r="C34" s="487" t="s">
        <v>239</v>
      </c>
      <c r="D34" s="487" t="s">
        <v>84</v>
      </c>
      <c r="E34" s="493" t="s">
        <v>97</v>
      </c>
      <c r="F34" s="496" t="s">
        <v>87</v>
      </c>
      <c r="G34" s="489">
        <v>5</v>
      </c>
      <c r="H34" s="489">
        <v>2</v>
      </c>
      <c r="I34" s="489">
        <v>2</v>
      </c>
      <c r="J34" s="489">
        <v>12</v>
      </c>
      <c r="K34" s="487" t="s">
        <v>112</v>
      </c>
      <c r="L34" s="518" t="s">
        <v>1002</v>
      </c>
      <c r="M34" s="1608"/>
      <c r="N34" s="499"/>
      <c r="O34" s="500"/>
      <c r="P34" s="1789">
        <f>SUM(P35:P36)</f>
        <v>30800000</v>
      </c>
      <c r="Q34" s="1791"/>
      <c r="R34" s="745"/>
      <c r="S34" s="789"/>
      <c r="T34" s="1559">
        <f>SUM(T35:T36)</f>
        <v>33000000</v>
      </c>
      <c r="U34" s="756">
        <f>SUM(T34)-P34</f>
        <v>2200000</v>
      </c>
      <c r="V34" s="439">
        <f t="shared" ref="V34:V36" si="0">U34/T34*100</f>
        <v>6.666666666666667</v>
      </c>
    </row>
    <row r="35" spans="2:23" x14ac:dyDescent="0.25">
      <c r="B35" s="486"/>
      <c r="C35" s="489"/>
      <c r="D35" s="489"/>
      <c r="E35" s="488"/>
      <c r="F35" s="473"/>
      <c r="G35" s="489"/>
      <c r="H35" s="489"/>
      <c r="I35" s="489"/>
      <c r="J35" s="489"/>
      <c r="K35" s="489"/>
      <c r="L35" s="1785" t="s">
        <v>1003</v>
      </c>
      <c r="M35" s="1648">
        <v>35</v>
      </c>
      <c r="N35" s="1786" t="s">
        <v>1004</v>
      </c>
      <c r="O35" s="1787">
        <v>550000</v>
      </c>
      <c r="P35" s="1790">
        <f>O35*M35</f>
        <v>19250000</v>
      </c>
      <c r="Q35" s="1627">
        <v>35</v>
      </c>
      <c r="R35" s="1612" t="s">
        <v>1004</v>
      </c>
      <c r="S35" s="1613">
        <v>550000</v>
      </c>
      <c r="T35" s="1623">
        <f>S35*Q35</f>
        <v>19250000</v>
      </c>
      <c r="U35" s="756">
        <f>SUM(T35)-P35</f>
        <v>0</v>
      </c>
      <c r="V35" s="439">
        <f t="shared" si="0"/>
        <v>0</v>
      </c>
    </row>
    <row r="36" spans="2:23" x14ac:dyDescent="0.25">
      <c r="B36" s="510"/>
      <c r="C36" s="489"/>
      <c r="D36" s="489"/>
      <c r="E36" s="488"/>
      <c r="F36" s="1763"/>
      <c r="G36" s="489"/>
      <c r="H36" s="489"/>
      <c r="I36" s="489"/>
      <c r="J36" s="489"/>
      <c r="K36" s="489"/>
      <c r="L36" s="1785" t="s">
        <v>1005</v>
      </c>
      <c r="M36" s="1648">
        <v>21</v>
      </c>
      <c r="N36" s="1786" t="s">
        <v>1004</v>
      </c>
      <c r="O36" s="1787">
        <v>550000</v>
      </c>
      <c r="P36" s="1790">
        <f>O36*M36</f>
        <v>11550000</v>
      </c>
      <c r="Q36" s="1627">
        <v>25</v>
      </c>
      <c r="R36" s="1626" t="s">
        <v>1004</v>
      </c>
      <c r="S36" s="1613">
        <v>550000</v>
      </c>
      <c r="T36" s="1623">
        <f>S36*Q36</f>
        <v>13750000</v>
      </c>
      <c r="U36" s="756">
        <f>SUM(T36)-P36</f>
        <v>2200000</v>
      </c>
      <c r="V36" s="439">
        <f t="shared" si="0"/>
        <v>16</v>
      </c>
    </row>
    <row r="37" spans="2:23" x14ac:dyDescent="0.25">
      <c r="B37" s="663"/>
      <c r="C37" s="814"/>
      <c r="D37" s="814"/>
      <c r="E37" s="1614"/>
      <c r="F37" s="1614"/>
      <c r="G37" s="666"/>
      <c r="H37" s="666"/>
      <c r="I37" s="664"/>
      <c r="J37" s="814"/>
      <c r="K37" s="814"/>
      <c r="L37" s="1615"/>
      <c r="M37" s="1616"/>
      <c r="N37" s="1628"/>
      <c r="O37" s="1629"/>
      <c r="P37" s="1630"/>
      <c r="Q37" s="1631"/>
      <c r="R37" s="1617"/>
      <c r="S37" s="1618"/>
      <c r="T37" s="971"/>
      <c r="U37" s="1619"/>
      <c r="V37" s="1609"/>
    </row>
    <row r="38" spans="2:23" ht="14.5" thickBot="1" x14ac:dyDescent="0.3">
      <c r="B38" s="2730" t="s">
        <v>15</v>
      </c>
      <c r="C38" s="2731"/>
      <c r="D38" s="2731"/>
      <c r="E38" s="2731"/>
      <c r="F38" s="2731"/>
      <c r="G38" s="2731"/>
      <c r="H38" s="2731"/>
      <c r="I38" s="2731"/>
      <c r="J38" s="2731"/>
      <c r="K38" s="2731"/>
      <c r="L38" s="2731"/>
      <c r="M38" s="2731"/>
      <c r="N38" s="2731"/>
      <c r="O38" s="2731"/>
      <c r="P38" s="436">
        <f>P28</f>
        <v>30800000</v>
      </c>
      <c r="Q38" s="2915"/>
      <c r="R38" s="2916"/>
      <c r="S38" s="2917"/>
      <c r="T38" s="1520">
        <f>T28</f>
        <v>33000000</v>
      </c>
      <c r="U38" s="935">
        <f>U28</f>
        <v>2200000</v>
      </c>
      <c r="V38" s="439">
        <f>U38/P38*100</f>
        <v>7.1428571428571423</v>
      </c>
    </row>
    <row r="39" spans="2:23" ht="13" thickTop="1" x14ac:dyDescent="0.25">
      <c r="B39" s="2918"/>
      <c r="C39" s="2919"/>
      <c r="D39" s="2919"/>
      <c r="E39" s="2919"/>
      <c r="F39" s="2919"/>
      <c r="G39" s="2919"/>
      <c r="H39" s="2919"/>
      <c r="I39" s="2919"/>
      <c r="J39" s="2919"/>
      <c r="K39" s="2919"/>
      <c r="L39" s="2919"/>
      <c r="M39" s="2919"/>
      <c r="N39" s="2919"/>
      <c r="O39" s="2919"/>
      <c r="P39" s="2919"/>
      <c r="Q39" s="2919"/>
      <c r="R39" s="2919"/>
      <c r="S39" s="2919"/>
      <c r="T39" s="2919"/>
      <c r="U39" s="2919"/>
      <c r="V39" s="2920"/>
    </row>
    <row r="40" spans="2:23" ht="12.75" customHeight="1" x14ac:dyDescent="0.25">
      <c r="B40" s="466"/>
      <c r="C40" s="1490"/>
      <c r="D40" s="1490"/>
      <c r="E40" s="1490"/>
      <c r="F40" s="1490"/>
      <c r="G40" s="1490"/>
      <c r="H40" s="1490"/>
      <c r="I40" s="1490"/>
      <c r="J40" s="1490"/>
      <c r="K40" s="1490"/>
      <c r="L40" s="396"/>
      <c r="M40" s="344"/>
      <c r="N40" s="344"/>
      <c r="O40" s="344"/>
      <c r="P40" s="344"/>
      <c r="Q40" s="1490"/>
      <c r="R40" s="344"/>
      <c r="S40" s="2921" t="str">
        <f>'Pemel PRLTN GDG KTR '!S48:U48</f>
        <v>Banda Aceh,               2020</v>
      </c>
      <c r="T40" s="2921"/>
      <c r="U40" s="2921"/>
      <c r="V40" s="936"/>
      <c r="W40" s="100"/>
    </row>
    <row r="41" spans="2:23" x14ac:dyDescent="0.25">
      <c r="B41" s="466"/>
      <c r="C41" s="1490"/>
      <c r="D41" s="1490"/>
      <c r="E41" s="1490"/>
      <c r="F41" s="1490"/>
      <c r="G41" s="1490"/>
      <c r="H41" s="1490"/>
      <c r="I41" s="1490"/>
      <c r="J41" s="1490"/>
      <c r="K41" s="1490"/>
      <c r="L41" s="1521" t="str">
        <f>'Pemel PRLTN GDG KTR '!L49</f>
        <v>Mengesahkan,</v>
      </c>
      <c r="M41" s="344"/>
      <c r="N41" s="344"/>
      <c r="O41" s="344"/>
      <c r="P41" s="344"/>
      <c r="Q41" s="1490"/>
      <c r="R41" s="344"/>
      <c r="S41" s="2922" t="str">
        <f>'Pemel PRLTN GDG KTR '!S49:U49</f>
        <v>Pengguna Anggaran</v>
      </c>
      <c r="T41" s="2922"/>
      <c r="U41" s="2922"/>
      <c r="V41" s="397"/>
      <c r="W41" s="22"/>
    </row>
    <row r="42" spans="2:23" ht="12.75" customHeight="1" x14ac:dyDescent="0.25">
      <c r="B42" s="466"/>
      <c r="C42" s="1490"/>
      <c r="D42" s="1490"/>
      <c r="E42" s="1490"/>
      <c r="F42" s="1490"/>
      <c r="G42" s="1490"/>
      <c r="H42" s="1490"/>
      <c r="I42" s="1490"/>
      <c r="J42" s="1490"/>
      <c r="K42" s="1490"/>
      <c r="L42" s="1521" t="str">
        <f>'Pemel PRLTN GDG KTR '!L50</f>
        <v>Pejabat Pengelola Keuangan Daerah</v>
      </c>
      <c r="M42" s="344"/>
      <c r="N42" s="344"/>
      <c r="O42" s="344"/>
      <c r="P42" s="344"/>
      <c r="Q42" s="1490"/>
      <c r="R42" s="344"/>
      <c r="S42" s="2922" t="str">
        <f>'Pemel PRLTN GDG KTR '!S50:U50</f>
        <v xml:space="preserve"> Satuan Kerja Perangkat Daerah </v>
      </c>
      <c r="T42" s="2922"/>
      <c r="U42" s="2922"/>
      <c r="V42" s="397"/>
      <c r="W42" s="22"/>
    </row>
    <row r="43" spans="2:23" x14ac:dyDescent="0.25">
      <c r="B43" s="466"/>
      <c r="C43" s="1490"/>
      <c r="D43" s="1490"/>
      <c r="E43" s="1490"/>
      <c r="F43" s="1490"/>
      <c r="G43" s="1490"/>
      <c r="H43" s="1490"/>
      <c r="I43" s="1490"/>
      <c r="J43" s="1490"/>
      <c r="K43" s="1490"/>
      <c r="L43" s="394"/>
      <c r="M43" s="344"/>
      <c r="N43" s="344"/>
      <c r="O43" s="344"/>
      <c r="P43" s="344"/>
      <c r="Q43" s="1490"/>
      <c r="R43" s="344"/>
      <c r="S43" s="937"/>
      <c r="T43" s="938"/>
      <c r="U43" s="938"/>
      <c r="V43" s="939"/>
      <c r="W43" s="102"/>
    </row>
    <row r="44" spans="2:23" x14ac:dyDescent="0.25">
      <c r="B44" s="466"/>
      <c r="C44" s="1490"/>
      <c r="D44" s="1490"/>
      <c r="E44" s="1490"/>
      <c r="F44" s="1490"/>
      <c r="G44" s="1490"/>
      <c r="H44" s="1490"/>
      <c r="I44" s="1490"/>
      <c r="J44" s="1490"/>
      <c r="K44" s="1490"/>
      <c r="L44" s="394"/>
      <c r="M44" s="344"/>
      <c r="N44" s="344"/>
      <c r="O44" s="344"/>
      <c r="P44" s="344"/>
      <c r="Q44" s="1490"/>
      <c r="R44" s="344"/>
      <c r="S44" s="937"/>
      <c r="T44" s="937"/>
      <c r="U44" s="937"/>
      <c r="V44" s="940"/>
      <c r="W44" s="103"/>
    </row>
    <row r="45" spans="2:23" x14ac:dyDescent="0.25">
      <c r="B45" s="466"/>
      <c r="C45" s="1490"/>
      <c r="D45" s="1490"/>
      <c r="E45" s="1490"/>
      <c r="F45" s="1490"/>
      <c r="G45" s="1490"/>
      <c r="H45" s="1490"/>
      <c r="I45" s="1490"/>
      <c r="J45" s="1490"/>
      <c r="K45" s="1490"/>
      <c r="L45" s="941"/>
      <c r="M45" s="344"/>
      <c r="N45" s="344"/>
      <c r="O45" s="344"/>
      <c r="P45" s="344"/>
      <c r="Q45" s="1490"/>
      <c r="R45" s="344"/>
      <c r="S45" s="937"/>
      <c r="T45" s="938"/>
      <c r="U45" s="938"/>
      <c r="V45" s="939"/>
      <c r="W45" s="102"/>
    </row>
    <row r="46" spans="2:23" ht="14" x14ac:dyDescent="0.25">
      <c r="B46" s="466"/>
      <c r="C46" s="1490"/>
      <c r="D46" s="1490"/>
      <c r="E46" s="1490"/>
      <c r="F46" s="1490"/>
      <c r="G46" s="1490"/>
      <c r="H46" s="1490"/>
      <c r="I46" s="1490"/>
      <c r="J46" s="1490"/>
      <c r="K46" s="1490"/>
      <c r="L46" s="942" t="str">
        <f>'Pemel PRLTN GDG KTR '!L54</f>
        <v>M. Iqbal Rokan, S.STP.</v>
      </c>
      <c r="M46" s="344"/>
      <c r="N46" s="344"/>
      <c r="O46" s="344"/>
      <c r="P46" s="344"/>
      <c r="Q46" s="1490"/>
      <c r="R46" s="344"/>
      <c r="S46" s="2923" t="str">
        <f>'Pemel PRLTN GDG KTR '!S54:U54</f>
        <v>Bustami, SH</v>
      </c>
      <c r="T46" s="2923"/>
      <c r="U46" s="2923"/>
      <c r="V46" s="400"/>
      <c r="W46" s="104"/>
    </row>
    <row r="47" spans="2:23" x14ac:dyDescent="0.25">
      <c r="B47" s="466"/>
      <c r="C47" s="1490"/>
      <c r="D47" s="1490"/>
      <c r="E47" s="1490"/>
      <c r="F47" s="1490"/>
      <c r="G47" s="1490"/>
      <c r="H47" s="1490"/>
      <c r="I47" s="1490"/>
      <c r="J47" s="1490"/>
      <c r="K47" s="1490"/>
      <c r="L47" s="1521" t="str">
        <f>'Pemel PRLTN GDG KTR '!L55</f>
        <v>Nip. 19780505 199810 1 001</v>
      </c>
      <c r="M47" s="344"/>
      <c r="N47" s="344"/>
      <c r="O47" s="344"/>
      <c r="P47" s="344"/>
      <c r="Q47" s="1490"/>
      <c r="R47" s="344"/>
      <c r="S47" s="2922" t="str">
        <f>'Pemel PRLTN GDG KTR '!S55:U55</f>
        <v>Pembina Utama Muda / Nip. 196308241987031004</v>
      </c>
      <c r="T47" s="2922"/>
      <c r="U47" s="2922"/>
      <c r="V47" s="397"/>
      <c r="W47" s="22"/>
    </row>
    <row r="48" spans="2:23" x14ac:dyDescent="0.25">
      <c r="B48" s="466"/>
      <c r="C48" s="1490"/>
      <c r="D48" s="1490"/>
      <c r="E48" s="1490"/>
      <c r="F48" s="1490"/>
      <c r="G48" s="1490"/>
      <c r="H48" s="1490"/>
      <c r="I48" s="1490"/>
      <c r="J48" s="1490"/>
      <c r="K48" s="1490"/>
      <c r="L48" s="1521"/>
      <c r="M48" s="344"/>
      <c r="N48" s="344"/>
      <c r="O48" s="344"/>
      <c r="P48" s="344"/>
      <c r="Q48" s="1490"/>
      <c r="R48" s="344"/>
      <c r="S48" s="1521"/>
      <c r="T48" s="1521"/>
      <c r="U48" s="1521"/>
      <c r="V48" s="943"/>
      <c r="W48" s="21"/>
    </row>
    <row r="49" spans="2:22" ht="14.25" customHeight="1" x14ac:dyDescent="0.25">
      <c r="B49" s="2705" t="s">
        <v>286</v>
      </c>
      <c r="C49" s="2706"/>
      <c r="D49" s="2706"/>
      <c r="E49" s="2706"/>
      <c r="F49" s="2706"/>
      <c r="G49" s="2706"/>
      <c r="H49" s="2706"/>
      <c r="I49" s="2706"/>
      <c r="J49" s="2706"/>
      <c r="K49" s="2706"/>
      <c r="L49" s="2706"/>
      <c r="M49" s="2707" t="s">
        <v>145</v>
      </c>
      <c r="N49" s="2708"/>
      <c r="O49" s="2708"/>
      <c r="P49" s="2708"/>
      <c r="Q49" s="2708"/>
      <c r="R49" s="2708"/>
      <c r="S49" s="2708"/>
      <c r="T49" s="2708"/>
      <c r="U49" s="2708"/>
      <c r="V49" s="2709"/>
    </row>
    <row r="50" spans="2:22" ht="14.25" customHeight="1" x14ac:dyDescent="0.25">
      <c r="B50" s="2893"/>
      <c r="C50" s="2894"/>
      <c r="D50" s="2894"/>
      <c r="E50" s="2894"/>
      <c r="F50" s="2894"/>
      <c r="G50" s="2894"/>
      <c r="H50" s="2894"/>
      <c r="I50" s="2894"/>
      <c r="J50" s="2894"/>
      <c r="K50" s="2894"/>
      <c r="L50" s="2895"/>
      <c r="M50" s="1497" t="s">
        <v>142</v>
      </c>
      <c r="N50" s="2747"/>
      <c r="O50" s="2747"/>
      <c r="P50" s="2747"/>
      <c r="Q50" s="2746" t="s">
        <v>143</v>
      </c>
      <c r="R50" s="2746"/>
      <c r="S50" s="2746"/>
      <c r="T50" s="1496" t="s">
        <v>144</v>
      </c>
      <c r="U50" s="2746" t="s">
        <v>146</v>
      </c>
      <c r="V50" s="2748"/>
    </row>
    <row r="51" spans="2:22" ht="14.25" customHeight="1" x14ac:dyDescent="0.25">
      <c r="B51" s="2907" t="s">
        <v>293</v>
      </c>
      <c r="C51" s="2908"/>
      <c r="D51" s="2908"/>
      <c r="E51" s="2908"/>
      <c r="F51" s="2908"/>
      <c r="G51" s="2908"/>
      <c r="H51" s="2908"/>
      <c r="I51" s="2908"/>
      <c r="J51" s="2908"/>
      <c r="K51" s="2908"/>
      <c r="L51" s="944">
        <v>0</v>
      </c>
      <c r="M51" s="945">
        <v>1</v>
      </c>
      <c r="N51" s="2896" t="str">
        <f>'Pemel PRLTN GDG KTR '!N59:P59</f>
        <v>Weri, SE. MA</v>
      </c>
      <c r="O51" s="2897"/>
      <c r="P51" s="2897"/>
      <c r="Q51" s="2898" t="str">
        <f>'Pemel PRLTN GDG KTR '!Q59:S59</f>
        <v>19640525 198903 1 026</v>
      </c>
      <c r="R51" s="2563"/>
      <c r="S51" s="2564"/>
      <c r="T51" s="946" t="s">
        <v>302</v>
      </c>
      <c r="U51" s="947" t="s">
        <v>287</v>
      </c>
      <c r="V51" s="451"/>
    </row>
    <row r="52" spans="2:22" ht="14" x14ac:dyDescent="0.25">
      <c r="B52" s="2907" t="s">
        <v>294</v>
      </c>
      <c r="C52" s="2908"/>
      <c r="D52" s="2908"/>
      <c r="E52" s="2908"/>
      <c r="F52" s="2908"/>
      <c r="G52" s="2908"/>
      <c r="H52" s="2908"/>
      <c r="I52" s="2908"/>
      <c r="J52" s="2908"/>
      <c r="K52" s="2908"/>
      <c r="L52" s="944">
        <v>0</v>
      </c>
      <c r="M52" s="945">
        <v>2</v>
      </c>
      <c r="N52" s="2909" t="str">
        <f>'Pemel PRLTN GDG KTR '!N60:P60</f>
        <v>Azmi, SH</v>
      </c>
      <c r="O52" s="2706"/>
      <c r="P52" s="2706"/>
      <c r="Q52" s="2898" t="str">
        <f>'Pemel PRLTN GDG KTR '!Q60:S60</f>
        <v>19680824 199903 1 004</v>
      </c>
      <c r="R52" s="2563"/>
      <c r="S52" s="2564"/>
      <c r="T52" s="946" t="s">
        <v>303</v>
      </c>
      <c r="U52" s="450"/>
      <c r="V52" s="948" t="s">
        <v>128</v>
      </c>
    </row>
    <row r="53" spans="2:22" ht="14" x14ac:dyDescent="0.25">
      <c r="B53" s="2907" t="s">
        <v>295</v>
      </c>
      <c r="C53" s="2908"/>
      <c r="D53" s="2908"/>
      <c r="E53" s="2908"/>
      <c r="F53" s="2908"/>
      <c r="G53" s="2908"/>
      <c r="H53" s="2908"/>
      <c r="I53" s="2908"/>
      <c r="J53" s="2908"/>
      <c r="K53" s="2908"/>
      <c r="L53" s="944">
        <v>0</v>
      </c>
      <c r="M53" s="1160">
        <v>3</v>
      </c>
      <c r="N53" s="2909" t="str">
        <f>'Pemel PRLTN GDG KTR '!N61:P61</f>
        <v>Muhammad Syaifuddin Ambia, ST, MT</v>
      </c>
      <c r="O53" s="2706"/>
      <c r="P53" s="2706"/>
      <c r="Q53" s="2898" t="str">
        <f>'Pemel PRLTN GDG KTR '!Q61:S61</f>
        <v>19741010 200604 1 003</v>
      </c>
      <c r="R53" s="2563"/>
      <c r="S53" s="2564"/>
      <c r="T53" s="946" t="s">
        <v>304</v>
      </c>
      <c r="U53" s="950" t="s">
        <v>292</v>
      </c>
      <c r="V53" s="451"/>
    </row>
    <row r="54" spans="2:22" ht="15" customHeight="1" x14ac:dyDescent="0.25">
      <c r="B54" s="2907" t="s">
        <v>296</v>
      </c>
      <c r="C54" s="2908"/>
      <c r="D54" s="2908"/>
      <c r="E54" s="2908"/>
      <c r="F54" s="2908"/>
      <c r="G54" s="2908"/>
      <c r="H54" s="2908"/>
      <c r="I54" s="2908"/>
      <c r="J54" s="2908"/>
      <c r="K54" s="2908"/>
      <c r="L54" s="944">
        <v>0</v>
      </c>
      <c r="M54" s="945">
        <v>4</v>
      </c>
      <c r="N54" s="2909" t="str">
        <f>'Pemel PRLTN GDG KTR '!N62:P62</f>
        <v>Basri, SE, M.Si</v>
      </c>
      <c r="O54" s="2706"/>
      <c r="P54" s="2706"/>
      <c r="Q54" s="2898" t="str">
        <f>'Pemel PRLTN GDG KTR '!Q62:S62</f>
        <v>19691213 199403 1 002</v>
      </c>
      <c r="R54" s="2563"/>
      <c r="S54" s="2564"/>
      <c r="T54" s="946" t="s">
        <v>305</v>
      </c>
      <c r="U54" s="450"/>
      <c r="V54" s="948" t="s">
        <v>288</v>
      </c>
    </row>
    <row r="55" spans="2:22" ht="14" x14ac:dyDescent="0.25">
      <c r="B55" s="2907" t="s">
        <v>297</v>
      </c>
      <c r="C55" s="2908"/>
      <c r="D55" s="2908"/>
      <c r="E55" s="2908"/>
      <c r="F55" s="2908"/>
      <c r="G55" s="2908"/>
      <c r="H55" s="2908"/>
      <c r="I55" s="2908"/>
      <c r="J55" s="2908"/>
      <c r="K55" s="2908"/>
      <c r="L55" s="951">
        <f>SUM(L51:L54)</f>
        <v>0</v>
      </c>
      <c r="M55" s="952">
        <v>5</v>
      </c>
      <c r="N55" s="2909" t="str">
        <f>'Pemel PRLTN GDG KTR '!N63:P63</f>
        <v>Dewi Shinta Reza, SE. Ak</v>
      </c>
      <c r="O55" s="2706"/>
      <c r="P55" s="2706"/>
      <c r="Q55" s="2898" t="str">
        <f>'Pemel PRLTN GDG KTR '!Q63:S63</f>
        <v>19750630 200212 2 003</v>
      </c>
      <c r="R55" s="2563"/>
      <c r="S55" s="2564"/>
      <c r="T55" s="946" t="s">
        <v>306</v>
      </c>
      <c r="U55" s="950" t="s">
        <v>289</v>
      </c>
      <c r="V55" s="451"/>
    </row>
    <row r="56" spans="2:22" ht="13.5" customHeight="1" x14ac:dyDescent="0.25">
      <c r="B56" s="2893"/>
      <c r="C56" s="2894"/>
      <c r="D56" s="2894"/>
      <c r="E56" s="2894"/>
      <c r="F56" s="2894"/>
      <c r="G56" s="2894"/>
      <c r="H56" s="2894"/>
      <c r="I56" s="2894"/>
      <c r="J56" s="2894"/>
      <c r="K56" s="2894"/>
      <c r="L56" s="2895"/>
      <c r="M56" s="952">
        <v>6</v>
      </c>
      <c r="N56" s="2896" t="str">
        <f>'Pemel PRLTN GDG KTR '!N64:P64</f>
        <v>Harisman, S.STP, M.Ec.Dev</v>
      </c>
      <c r="O56" s="2897"/>
      <c r="P56" s="2897"/>
      <c r="Q56" s="2898" t="str">
        <f>'Pemel PRLTN GDG KTR '!Q64:S64</f>
        <v>19830101 200112 1 003</v>
      </c>
      <c r="R56" s="2563"/>
      <c r="S56" s="2564"/>
      <c r="T56" s="946" t="s">
        <v>307</v>
      </c>
      <c r="U56" s="450"/>
      <c r="V56" s="948" t="s">
        <v>290</v>
      </c>
    </row>
    <row r="57" spans="2:22" ht="14.5" thickBot="1" x14ac:dyDescent="0.3">
      <c r="B57" s="2899"/>
      <c r="C57" s="2900"/>
      <c r="D57" s="2900"/>
      <c r="E57" s="2900"/>
      <c r="F57" s="2900"/>
      <c r="G57" s="2900"/>
      <c r="H57" s="2900"/>
      <c r="I57" s="2900"/>
      <c r="J57" s="2900"/>
      <c r="K57" s="2900"/>
      <c r="L57" s="2901"/>
      <c r="M57" s="953">
        <v>7</v>
      </c>
      <c r="N57" s="2902" t="str">
        <f>'Pemel PRLTN GDG KTR '!N65:P65</f>
        <v>Alriandi, S.STP, M.Si</v>
      </c>
      <c r="O57" s="2903"/>
      <c r="P57" s="2903"/>
      <c r="Q57" s="2904" t="str">
        <f>'Pemel PRLTN GDG KTR '!Q65:S65</f>
        <v>19830308 200112 1 001</v>
      </c>
      <c r="R57" s="2905"/>
      <c r="S57" s="2906"/>
      <c r="T57" s="954" t="s">
        <v>308</v>
      </c>
      <c r="U57" s="955" t="s">
        <v>291</v>
      </c>
      <c r="V57" s="956"/>
    </row>
    <row r="58" spans="2:22" ht="13" thickTop="1" x14ac:dyDescent="0.25">
      <c r="B58" s="1510"/>
      <c r="C58" s="1510"/>
      <c r="D58" s="1510"/>
      <c r="E58" s="1510"/>
      <c r="F58" s="1510"/>
      <c r="G58" s="1510"/>
      <c r="H58" s="1510"/>
      <c r="I58" s="1510"/>
      <c r="J58" s="1510"/>
      <c r="K58" s="1510"/>
      <c r="L58" s="1510"/>
      <c r="M58" s="1510"/>
      <c r="N58" s="1510"/>
      <c r="O58" s="1510"/>
      <c r="P58" s="1510"/>
    </row>
    <row r="59" spans="2:22" x14ac:dyDescent="0.25">
      <c r="B59" s="1510"/>
      <c r="C59" s="1510"/>
      <c r="D59" s="1510"/>
      <c r="E59" s="1510"/>
      <c r="F59" s="1510"/>
      <c r="G59" s="1510"/>
      <c r="H59" s="1510"/>
      <c r="I59" s="1510"/>
      <c r="J59" s="1510"/>
      <c r="K59" s="1510"/>
      <c r="L59" s="1510"/>
      <c r="M59" s="1510"/>
      <c r="N59" s="1510"/>
      <c r="O59" s="1510"/>
      <c r="P59" s="1510"/>
    </row>
    <row r="60" spans="2:22" x14ac:dyDescent="0.25">
      <c r="B60" s="1510"/>
      <c r="C60" s="1510"/>
      <c r="D60" s="1510"/>
      <c r="E60" s="1510"/>
      <c r="F60" s="1510"/>
      <c r="G60" s="1510"/>
      <c r="H60" s="1510"/>
      <c r="I60" s="1510"/>
      <c r="J60" s="1510"/>
      <c r="K60" s="1510"/>
      <c r="L60" s="1510"/>
      <c r="M60" s="1510"/>
      <c r="N60" s="1510"/>
      <c r="O60" s="1510"/>
      <c r="P60" s="1510"/>
    </row>
    <row r="61" spans="2:22" x14ac:dyDescent="0.25">
      <c r="B61" s="1510"/>
      <c r="C61" s="1510"/>
      <c r="D61" s="1510"/>
      <c r="E61" s="1510"/>
      <c r="F61" s="1510"/>
      <c r="G61" s="1510"/>
      <c r="H61" s="1510"/>
      <c r="I61" s="1510"/>
      <c r="J61" s="1510"/>
      <c r="K61" s="1510"/>
      <c r="L61" s="1510"/>
      <c r="M61" s="1510"/>
      <c r="N61" s="1510"/>
      <c r="O61" s="1510"/>
      <c r="P61" s="1510"/>
    </row>
    <row r="62" spans="2:22" x14ac:dyDescent="0.25">
      <c r="B62" s="1510"/>
      <c r="C62" s="1510"/>
      <c r="D62" s="1510"/>
      <c r="E62" s="1510"/>
      <c r="F62" s="1510"/>
      <c r="G62" s="1510"/>
      <c r="H62" s="1510"/>
      <c r="I62" s="1510"/>
      <c r="J62" s="1510"/>
      <c r="K62" s="1510"/>
      <c r="L62" s="1510"/>
      <c r="M62" s="1510"/>
      <c r="N62" s="1510"/>
      <c r="O62" s="1510"/>
      <c r="P62" s="1510"/>
    </row>
    <row r="63" spans="2:22" x14ac:dyDescent="0.25">
      <c r="B63" s="1510"/>
      <c r="C63" s="1510"/>
      <c r="D63" s="1510"/>
      <c r="E63" s="1510"/>
      <c r="F63" s="1510"/>
      <c r="G63" s="1510"/>
      <c r="H63" s="1510"/>
      <c r="I63" s="1510"/>
      <c r="J63" s="1510"/>
      <c r="K63" s="1510"/>
      <c r="L63" s="1510"/>
      <c r="M63" s="1510"/>
      <c r="N63" s="1510"/>
      <c r="O63" s="1510"/>
      <c r="P63" s="1510"/>
    </row>
    <row r="64" spans="2:22" x14ac:dyDescent="0.25">
      <c r="B64" s="1510"/>
      <c r="C64" s="1510"/>
      <c r="D64" s="1510"/>
      <c r="E64" s="1510"/>
      <c r="F64" s="1510"/>
      <c r="G64" s="1510"/>
      <c r="H64" s="1510"/>
      <c r="I64" s="1510"/>
      <c r="J64" s="1510"/>
      <c r="K64" s="1510"/>
      <c r="L64" s="1510"/>
      <c r="M64" s="1510"/>
      <c r="N64" s="1510"/>
      <c r="O64" s="1510"/>
      <c r="P64" s="1510"/>
    </row>
    <row r="65" spans="2:16" x14ac:dyDescent="0.25">
      <c r="B65" s="1510"/>
      <c r="C65" s="1510"/>
      <c r="D65" s="1510"/>
      <c r="E65" s="1510"/>
      <c r="F65" s="1510"/>
      <c r="G65" s="1510"/>
      <c r="H65" s="1510"/>
      <c r="I65" s="1510"/>
      <c r="J65" s="1510"/>
      <c r="K65" s="1510"/>
      <c r="L65" s="1510"/>
      <c r="M65" s="1510"/>
      <c r="N65" s="1510"/>
      <c r="O65" s="1510"/>
      <c r="P65" s="1510"/>
    </row>
    <row r="66" spans="2:16" x14ac:dyDescent="0.25">
      <c r="B66" s="1510"/>
      <c r="C66" s="1510"/>
      <c r="D66" s="1510"/>
      <c r="E66" s="1510"/>
      <c r="F66" s="1510"/>
      <c r="G66" s="1510"/>
      <c r="H66" s="1510"/>
      <c r="I66" s="1510"/>
      <c r="J66" s="1510"/>
      <c r="K66" s="1510"/>
      <c r="L66" s="1510"/>
      <c r="M66" s="1510"/>
      <c r="N66" s="1510"/>
      <c r="O66" s="1510"/>
      <c r="P66" s="1510"/>
    </row>
    <row r="67" spans="2:16" x14ac:dyDescent="0.25">
      <c r="B67" s="1510"/>
      <c r="C67" s="1510"/>
      <c r="D67" s="1510"/>
      <c r="E67" s="1510"/>
      <c r="F67" s="1510"/>
      <c r="G67" s="1510"/>
      <c r="H67" s="1510"/>
      <c r="I67" s="1510"/>
      <c r="J67" s="1510"/>
      <c r="K67" s="1510"/>
      <c r="L67" s="1510"/>
      <c r="M67" s="1510"/>
      <c r="N67" s="1510"/>
      <c r="O67" s="1510"/>
      <c r="P67" s="1510"/>
    </row>
    <row r="68" spans="2:16" x14ac:dyDescent="0.25">
      <c r="B68" s="1510"/>
      <c r="C68" s="1510"/>
      <c r="D68" s="1510"/>
      <c r="E68" s="1510"/>
      <c r="F68" s="1510"/>
      <c r="G68" s="1510"/>
      <c r="H68" s="1510"/>
      <c r="I68" s="1510"/>
      <c r="J68" s="1510"/>
      <c r="K68" s="1510"/>
      <c r="L68" s="1510"/>
      <c r="M68" s="1510"/>
      <c r="N68" s="1510"/>
      <c r="O68" s="1510"/>
      <c r="P68" s="1510"/>
    </row>
    <row r="69" spans="2:16" x14ac:dyDescent="0.25">
      <c r="B69" s="1510"/>
      <c r="C69" s="1510"/>
      <c r="D69" s="1510"/>
      <c r="E69" s="1510"/>
      <c r="F69" s="1510"/>
      <c r="G69" s="1510"/>
      <c r="H69" s="1510"/>
      <c r="I69" s="1510"/>
      <c r="J69" s="1510"/>
      <c r="K69" s="1510"/>
      <c r="L69" s="1510"/>
      <c r="M69" s="1510"/>
      <c r="N69" s="1510"/>
      <c r="O69" s="1510"/>
      <c r="P69" s="1510"/>
    </row>
    <row r="70" spans="2:16" x14ac:dyDescent="0.25">
      <c r="B70" s="1510"/>
      <c r="C70" s="1510"/>
      <c r="D70" s="1510"/>
      <c r="E70" s="1510"/>
      <c r="F70" s="1510"/>
      <c r="G70" s="1510"/>
      <c r="H70" s="1510"/>
      <c r="I70" s="1510"/>
      <c r="J70" s="1510"/>
      <c r="K70" s="1510"/>
      <c r="L70" s="1510"/>
      <c r="M70" s="1510"/>
      <c r="N70" s="1510"/>
      <c r="O70" s="1510"/>
      <c r="P70" s="1510"/>
    </row>
    <row r="71" spans="2:16" x14ac:dyDescent="0.25">
      <c r="B71" s="1510"/>
      <c r="C71" s="1510"/>
      <c r="D71" s="1510"/>
      <c r="E71" s="1510"/>
      <c r="F71" s="1510"/>
      <c r="G71" s="1510"/>
      <c r="H71" s="1510"/>
      <c r="I71" s="1510"/>
      <c r="J71" s="1510"/>
      <c r="K71" s="1510"/>
      <c r="L71" s="1510"/>
      <c r="M71" s="1510"/>
      <c r="N71" s="1510"/>
      <c r="O71" s="1510"/>
      <c r="P71" s="1510"/>
    </row>
    <row r="72" spans="2:16" x14ac:dyDescent="0.25">
      <c r="B72" s="1510"/>
      <c r="C72" s="1510"/>
      <c r="D72" s="1510"/>
      <c r="E72" s="1510"/>
      <c r="F72" s="1510"/>
      <c r="G72" s="1510"/>
      <c r="H72" s="1510"/>
      <c r="I72" s="1510"/>
      <c r="J72" s="1510"/>
      <c r="K72" s="1510"/>
      <c r="L72" s="1510"/>
      <c r="M72" s="1510"/>
      <c r="N72" s="1510"/>
      <c r="O72" s="1510"/>
      <c r="P72" s="1510"/>
    </row>
    <row r="73" spans="2:16" x14ac:dyDescent="0.25">
      <c r="B73" s="1510"/>
      <c r="C73" s="1510"/>
      <c r="D73" s="1510"/>
      <c r="E73" s="1510"/>
      <c r="F73" s="1510"/>
      <c r="G73" s="1510"/>
      <c r="H73" s="1510"/>
      <c r="I73" s="1510"/>
      <c r="J73" s="1510"/>
      <c r="K73" s="1510"/>
      <c r="L73" s="1510"/>
      <c r="M73" s="1510"/>
      <c r="N73" s="1510"/>
      <c r="O73" s="1510"/>
      <c r="P73" s="1510"/>
    </row>
    <row r="74" spans="2:16" x14ac:dyDescent="0.25">
      <c r="B74" s="1510"/>
      <c r="C74" s="1510"/>
      <c r="D74" s="1510"/>
      <c r="E74" s="1510"/>
      <c r="F74" s="1510"/>
      <c r="G74" s="1510"/>
      <c r="H74" s="1510"/>
      <c r="I74" s="1510"/>
      <c r="J74" s="1510"/>
      <c r="K74" s="1510"/>
      <c r="L74" s="1510"/>
      <c r="M74" s="1510"/>
      <c r="N74" s="1510"/>
      <c r="O74" s="1510"/>
      <c r="P74" s="1510"/>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50:L50"/>
    <mergeCell ref="N50:P50"/>
    <mergeCell ref="Q50:S50"/>
    <mergeCell ref="U50:V50"/>
    <mergeCell ref="B27:K27"/>
    <mergeCell ref="B38:O38"/>
    <mergeCell ref="Q38:S38"/>
    <mergeCell ref="B39:V39"/>
    <mergeCell ref="S40:U40"/>
    <mergeCell ref="S41:U41"/>
    <mergeCell ref="S42:U42"/>
    <mergeCell ref="S46:U46"/>
    <mergeCell ref="S47:U47"/>
    <mergeCell ref="B49:L49"/>
    <mergeCell ref="M49:V49"/>
    <mergeCell ref="B51:K51"/>
    <mergeCell ref="N51:P51"/>
    <mergeCell ref="Q51:S51"/>
    <mergeCell ref="B52:K52"/>
    <mergeCell ref="N52:P52"/>
    <mergeCell ref="Q52:S52"/>
    <mergeCell ref="B53:K53"/>
    <mergeCell ref="N53:P53"/>
    <mergeCell ref="Q53:S53"/>
    <mergeCell ref="B54:K54"/>
    <mergeCell ref="N54:P54"/>
    <mergeCell ref="Q54:S54"/>
    <mergeCell ref="B57:L57"/>
    <mergeCell ref="N57:P57"/>
    <mergeCell ref="Q57:S57"/>
    <mergeCell ref="B55:K55"/>
    <mergeCell ref="N55:P55"/>
    <mergeCell ref="Q55:S55"/>
    <mergeCell ref="B56:L56"/>
    <mergeCell ref="N56:P56"/>
    <mergeCell ref="Q56:S56"/>
  </mergeCells>
  <pageMargins left="0.7" right="0.7" top="0.75" bottom="0.75" header="0.3" footer="0.3"/>
  <pageSetup paperSize="5" scale="55" orientation="landscape" horizontalDpi="4294967292" verticalDpi="1200" r:id="rId1"/>
  <colBreaks count="1" manualBreakCount="1">
    <brk id="2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X114"/>
  <sheetViews>
    <sheetView view="pageBreakPreview" zoomScale="76" zoomScaleNormal="70" zoomScaleSheetLayoutView="100" workbookViewId="0">
      <selection activeCell="M9" sqref="M9:V9"/>
    </sheetView>
  </sheetViews>
  <sheetFormatPr defaultColWidth="8.7265625" defaultRowHeight="12.5" x14ac:dyDescent="0.25"/>
  <cols>
    <col min="1" max="1" width="4.269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3.36328125" style="341" customWidth="1"/>
    <col min="17" max="17" width="9" style="341" customWidth="1"/>
    <col min="18" max="18" width="8" style="341" customWidth="1"/>
    <col min="19" max="19" width="15.1796875" style="341" customWidth="1"/>
    <col min="20" max="20" width="22.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313</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'Pemel PRLTN GDG KTR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591"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592"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598" t="s">
        <v>439</v>
      </c>
      <c r="M8" s="2862" t="s">
        <v>441</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647</v>
      </c>
      <c r="M9" s="2866" t="s">
        <v>526</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'Pemel PRLTN GDG KTR '!M10:V10</f>
        <v>Januari s/d Desember 2020</v>
      </c>
      <c r="N10" s="2868"/>
      <c r="O10" s="2868"/>
      <c r="P10" s="2868"/>
      <c r="Q10" s="2868"/>
      <c r="R10" s="2868"/>
      <c r="S10" s="2868"/>
      <c r="T10" s="2868"/>
      <c r="U10" s="2868"/>
      <c r="V10" s="2869"/>
    </row>
    <row r="11" spans="2:24" ht="31.5" customHeight="1" x14ac:dyDescent="0.25">
      <c r="B11" s="2939" t="s">
        <v>319</v>
      </c>
      <c r="C11" s="2940"/>
      <c r="D11" s="2940"/>
      <c r="E11" s="2940"/>
      <c r="F11" s="2940"/>
      <c r="G11" s="2940"/>
      <c r="H11" s="2940"/>
      <c r="I11" s="2940"/>
      <c r="J11" s="2940"/>
      <c r="K11" s="2940"/>
      <c r="L11" s="344"/>
      <c r="M11" s="3135" t="s">
        <v>620</v>
      </c>
      <c r="N11" s="3135"/>
      <c r="O11" s="3135"/>
      <c r="P11" s="3135"/>
      <c r="Q11" s="3135"/>
      <c r="R11" s="3135"/>
      <c r="S11" s="3135"/>
      <c r="T11" s="3135"/>
      <c r="U11" s="3135"/>
      <c r="V11" s="313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586"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4" t="s">
        <v>504</v>
      </c>
      <c r="M16" s="2827" t="s">
        <v>504</v>
      </c>
      <c r="N16" s="2828"/>
      <c r="O16" s="2828"/>
      <c r="P16" s="2829"/>
      <c r="Q16" s="2821">
        <v>1</v>
      </c>
      <c r="R16" s="2822"/>
      <c r="S16" s="2822"/>
      <c r="T16" s="2872">
        <v>1</v>
      </c>
      <c r="U16" s="2873"/>
      <c r="V16" s="2874"/>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32283930</v>
      </c>
      <c r="R17" s="2840"/>
      <c r="S17" s="2841"/>
      <c r="T17" s="2842">
        <f>T28</f>
        <v>32283930</v>
      </c>
      <c r="U17" s="2842"/>
      <c r="V17" s="2843"/>
    </row>
    <row r="18" spans="2:22" ht="24.5" customHeight="1" x14ac:dyDescent="0.25">
      <c r="B18" s="2834" t="s">
        <v>136</v>
      </c>
      <c r="C18" s="2835"/>
      <c r="D18" s="2835"/>
      <c r="E18" s="2835"/>
      <c r="F18" s="2835"/>
      <c r="G18" s="2835"/>
      <c r="H18" s="2835"/>
      <c r="I18" s="2835"/>
      <c r="J18" s="2835"/>
      <c r="K18" s="2836"/>
      <c r="L18" s="811" t="s">
        <v>646</v>
      </c>
      <c r="M18" s="2875" t="s">
        <v>646</v>
      </c>
      <c r="N18" s="2875"/>
      <c r="O18" s="2875"/>
      <c r="P18" s="2875"/>
      <c r="Q18" s="2616" t="s">
        <v>506</v>
      </c>
      <c r="R18" s="2616"/>
      <c r="S18" s="2616"/>
      <c r="T18" s="2616" t="s">
        <v>506</v>
      </c>
      <c r="U18" s="2616"/>
      <c r="V18" s="2837"/>
    </row>
    <row r="19" spans="2:22" ht="27.65" customHeight="1" x14ac:dyDescent="0.25">
      <c r="B19" s="2834" t="s">
        <v>137</v>
      </c>
      <c r="C19" s="2835"/>
      <c r="D19" s="2835"/>
      <c r="E19" s="2835"/>
      <c r="F19" s="2835"/>
      <c r="G19" s="2835"/>
      <c r="H19" s="2835"/>
      <c r="I19" s="2835"/>
      <c r="J19" s="2835"/>
      <c r="K19" s="2836"/>
      <c r="L19" s="524" t="s">
        <v>507</v>
      </c>
      <c r="M19" s="2820" t="s">
        <v>507</v>
      </c>
      <c r="N19" s="2820"/>
      <c r="O19" s="2820"/>
      <c r="P19" s="2820"/>
      <c r="Q19" s="2830">
        <v>0.15</v>
      </c>
      <c r="R19" s="2616"/>
      <c r="S19" s="2616"/>
      <c r="T19" s="2830">
        <v>0.15</v>
      </c>
      <c r="U19" s="2616"/>
      <c r="V19" s="2837"/>
    </row>
    <row r="20" spans="2:22" ht="14.25" customHeight="1" x14ac:dyDescent="0.3">
      <c r="B20" s="2824" t="s">
        <v>443</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1596"/>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589" t="s">
        <v>7</v>
      </c>
      <c r="Q27" s="147">
        <v>7</v>
      </c>
      <c r="R27" s="147">
        <v>8</v>
      </c>
      <c r="S27" s="86">
        <v>9</v>
      </c>
      <c r="T27" s="90" t="s">
        <v>275</v>
      </c>
      <c r="U27" s="92" t="s">
        <v>274</v>
      </c>
      <c r="V27" s="93">
        <v>12</v>
      </c>
    </row>
    <row r="28" spans="2:22" ht="13" thickTop="1" x14ac:dyDescent="0.25">
      <c r="B28" s="1730">
        <v>1</v>
      </c>
      <c r="C28" s="1722" t="s">
        <v>444</v>
      </c>
      <c r="D28" s="1722" t="s">
        <v>84</v>
      </c>
      <c r="E28" s="1792"/>
      <c r="F28" s="1717"/>
      <c r="G28" s="1716">
        <v>5</v>
      </c>
      <c r="H28" s="1716">
        <v>2</v>
      </c>
      <c r="I28" s="1717"/>
      <c r="J28" s="1717"/>
      <c r="K28" s="1717"/>
      <c r="L28" s="1793" t="s">
        <v>54</v>
      </c>
      <c r="M28" s="1794"/>
      <c r="N28" s="1795"/>
      <c r="O28" s="1796"/>
      <c r="P28" s="1858">
        <f>P29</f>
        <v>32283930</v>
      </c>
      <c r="Q28" s="1876"/>
      <c r="R28" s="1877"/>
      <c r="S28" s="1878"/>
      <c r="T28" s="1879">
        <f>T29</f>
        <v>32283930</v>
      </c>
      <c r="U28" s="882">
        <f>SUM(T28)-P28</f>
        <v>0</v>
      </c>
      <c r="V28" s="425"/>
    </row>
    <row r="29" spans="2:22" ht="25" x14ac:dyDescent="0.25">
      <c r="B29" s="1730">
        <v>1</v>
      </c>
      <c r="C29" s="1722" t="s">
        <v>444</v>
      </c>
      <c r="D29" s="1722" t="s">
        <v>84</v>
      </c>
      <c r="E29" s="1797">
        <v>15</v>
      </c>
      <c r="F29" s="1722"/>
      <c r="G29" s="1716"/>
      <c r="H29" s="1716"/>
      <c r="I29" s="1717"/>
      <c r="J29" s="1717"/>
      <c r="K29" s="1717"/>
      <c r="L29" s="1798" t="s">
        <v>622</v>
      </c>
      <c r="M29" s="1799"/>
      <c r="N29" s="1795"/>
      <c r="O29" s="1796"/>
      <c r="P29" s="1186">
        <f>P30</f>
        <v>32283930</v>
      </c>
      <c r="Q29" s="1799"/>
      <c r="R29" s="1795"/>
      <c r="S29" s="1796"/>
      <c r="T29" s="1188">
        <f>T30</f>
        <v>32283930</v>
      </c>
      <c r="U29" s="675"/>
      <c r="V29" s="761"/>
    </row>
    <row r="30" spans="2:22" ht="26.15" customHeight="1" x14ac:dyDescent="0.25">
      <c r="B30" s="797">
        <v>1</v>
      </c>
      <c r="C30" s="1074" t="s">
        <v>444</v>
      </c>
      <c r="D30" s="1074" t="s">
        <v>84</v>
      </c>
      <c r="E30" s="799">
        <v>15</v>
      </c>
      <c r="F30" s="799" t="s">
        <v>84</v>
      </c>
      <c r="G30" s="1716"/>
      <c r="H30" s="1716"/>
      <c r="I30" s="1717"/>
      <c r="J30" s="1717"/>
      <c r="K30" s="1722"/>
      <c r="L30" s="1800" t="s">
        <v>526</v>
      </c>
      <c r="M30" s="1799"/>
      <c r="N30" s="1795"/>
      <c r="O30" s="1796"/>
      <c r="P30" s="1186">
        <f>SUM(P32+P51)</f>
        <v>32283930</v>
      </c>
      <c r="Q30" s="1799"/>
      <c r="R30" s="1795"/>
      <c r="S30" s="1796"/>
      <c r="T30" s="1188">
        <f>SUM(T32+T51)</f>
        <v>32283930</v>
      </c>
      <c r="U30" s="756">
        <f>SUM(T30)-P30</f>
        <v>0</v>
      </c>
      <c r="V30" s="761"/>
    </row>
    <row r="31" spans="2:22" x14ac:dyDescent="0.25">
      <c r="B31" s="1730"/>
      <c r="C31" s="1722"/>
      <c r="D31" s="1722"/>
      <c r="E31" s="1797"/>
      <c r="F31" s="1722"/>
      <c r="G31" s="1716"/>
      <c r="H31" s="1716"/>
      <c r="I31" s="1717"/>
      <c r="J31" s="1717"/>
      <c r="K31" s="1722"/>
      <c r="L31" s="1801"/>
      <c r="M31" s="1802"/>
      <c r="N31" s="1803"/>
      <c r="O31" s="1804"/>
      <c r="P31" s="1858"/>
      <c r="Q31" s="1802"/>
      <c r="R31" s="1803"/>
      <c r="S31" s="1804"/>
      <c r="T31" s="1880"/>
      <c r="U31" s="675"/>
      <c r="V31" s="761"/>
    </row>
    <row r="32" spans="2:22" ht="14.5" customHeight="1" x14ac:dyDescent="0.25">
      <c r="B32" s="1730">
        <v>1</v>
      </c>
      <c r="C32" s="1722" t="s">
        <v>444</v>
      </c>
      <c r="D32" s="1722" t="s">
        <v>84</v>
      </c>
      <c r="E32" s="1797">
        <v>15</v>
      </c>
      <c r="F32" s="1797" t="s">
        <v>84</v>
      </c>
      <c r="G32" s="1716">
        <v>5</v>
      </c>
      <c r="H32" s="1716">
        <v>2</v>
      </c>
      <c r="I32" s="1717">
        <v>1</v>
      </c>
      <c r="J32" s="1717"/>
      <c r="K32" s="1717"/>
      <c r="L32" s="1718" t="s">
        <v>39</v>
      </c>
      <c r="M32" s="602"/>
      <c r="N32" s="1719"/>
      <c r="O32" s="1720"/>
      <c r="P32" s="1858">
        <f>P33+P44</f>
        <v>16100000</v>
      </c>
      <c r="Q32" s="602"/>
      <c r="R32" s="1719"/>
      <c r="S32" s="1720"/>
      <c r="T32" s="1880">
        <f>T33+T44</f>
        <v>16100000</v>
      </c>
      <c r="U32" s="756">
        <f>SUM(T32)-P32</f>
        <v>0</v>
      </c>
      <c r="V32" s="761"/>
    </row>
    <row r="33" spans="2:22" ht="15.65" customHeight="1" x14ac:dyDescent="0.25">
      <c r="B33" s="1730">
        <v>1</v>
      </c>
      <c r="C33" s="1722" t="s">
        <v>444</v>
      </c>
      <c r="D33" s="1722" t="s">
        <v>84</v>
      </c>
      <c r="E33" s="1797">
        <v>15</v>
      </c>
      <c r="F33" s="1797" t="s">
        <v>84</v>
      </c>
      <c r="G33" s="1716">
        <v>5</v>
      </c>
      <c r="H33" s="1716">
        <v>2</v>
      </c>
      <c r="I33" s="1717">
        <v>1</v>
      </c>
      <c r="J33" s="1722" t="s">
        <v>84</v>
      </c>
      <c r="K33" s="1717"/>
      <c r="L33" s="1723" t="s">
        <v>96</v>
      </c>
      <c r="M33" s="602"/>
      <c r="N33" s="1724"/>
      <c r="O33" s="1725"/>
      <c r="P33" s="1858">
        <f>P34+P37</f>
        <v>15000000</v>
      </c>
      <c r="Q33" s="602"/>
      <c r="R33" s="1724"/>
      <c r="S33" s="1725"/>
      <c r="T33" s="1880">
        <f>T34+T37</f>
        <v>15000000</v>
      </c>
      <c r="U33" s="756"/>
      <c r="V33" s="761"/>
    </row>
    <row r="34" spans="2:22" x14ac:dyDescent="0.25">
      <c r="B34" s="1730">
        <v>1</v>
      </c>
      <c r="C34" s="1722" t="s">
        <v>444</v>
      </c>
      <c r="D34" s="1722" t="s">
        <v>84</v>
      </c>
      <c r="E34" s="1797">
        <v>15</v>
      </c>
      <c r="F34" s="1797" t="s">
        <v>84</v>
      </c>
      <c r="G34" s="1716">
        <v>5</v>
      </c>
      <c r="H34" s="1716">
        <v>2</v>
      </c>
      <c r="I34" s="1717">
        <v>1</v>
      </c>
      <c r="J34" s="1722" t="s">
        <v>84</v>
      </c>
      <c r="K34" s="1722" t="s">
        <v>84</v>
      </c>
      <c r="L34" s="1726" t="s">
        <v>85</v>
      </c>
      <c r="M34" s="603"/>
      <c r="N34" s="1727"/>
      <c r="O34" s="1728"/>
      <c r="P34" s="1859">
        <f>SUM(P35:P35)</f>
        <v>1500000</v>
      </c>
      <c r="Q34" s="603"/>
      <c r="R34" s="1727"/>
      <c r="S34" s="1728"/>
      <c r="T34" s="1881">
        <f>SUM(T35:T35)</f>
        <v>1500000</v>
      </c>
      <c r="U34" s="756">
        <f>SUM(T34)-P34</f>
        <v>0</v>
      </c>
      <c r="V34" s="761"/>
    </row>
    <row r="35" spans="2:22" ht="25" x14ac:dyDescent="0.25">
      <c r="B35" s="1730"/>
      <c r="C35" s="1722"/>
      <c r="D35" s="1722"/>
      <c r="E35" s="1731"/>
      <c r="F35" s="1722"/>
      <c r="G35" s="1717"/>
      <c r="H35" s="1717"/>
      <c r="I35" s="1735"/>
      <c r="J35" s="1736"/>
      <c r="K35" s="1722"/>
      <c r="L35" s="1805" t="s">
        <v>718</v>
      </c>
      <c r="M35" s="604">
        <v>6</v>
      </c>
      <c r="N35" s="605" t="s">
        <v>82</v>
      </c>
      <c r="O35" s="606">
        <v>250000</v>
      </c>
      <c r="P35" s="870">
        <f>O35*M35</f>
        <v>1500000</v>
      </c>
      <c r="Q35" s="604">
        <v>6</v>
      </c>
      <c r="R35" s="605" t="s">
        <v>82</v>
      </c>
      <c r="S35" s="606">
        <v>250000</v>
      </c>
      <c r="T35" s="610">
        <f>S35*Q35</f>
        <v>1500000</v>
      </c>
      <c r="U35" s="756">
        <f>SUM(T35)-P35</f>
        <v>0</v>
      </c>
      <c r="V35" s="439">
        <f>U35/P35*100</f>
        <v>0</v>
      </c>
    </row>
    <row r="36" spans="2:22" x14ac:dyDescent="0.25">
      <c r="B36" s="1730"/>
      <c r="C36" s="1722"/>
      <c r="D36" s="1722"/>
      <c r="E36" s="1731"/>
      <c r="F36" s="1722"/>
      <c r="G36" s="1717"/>
      <c r="H36" s="1717"/>
      <c r="I36" s="1735"/>
      <c r="J36" s="1736"/>
      <c r="K36" s="1722"/>
      <c r="L36" s="1806"/>
      <c r="M36" s="604"/>
      <c r="N36" s="1807"/>
      <c r="O36" s="1808"/>
      <c r="P36" s="1860"/>
      <c r="Q36" s="604"/>
      <c r="R36" s="1807"/>
      <c r="S36" s="1808"/>
      <c r="T36" s="1808"/>
      <c r="U36" s="756">
        <f>SUM(T36)-P36</f>
        <v>0</v>
      </c>
      <c r="V36" s="761"/>
    </row>
    <row r="37" spans="2:22" x14ac:dyDescent="0.25">
      <c r="B37" s="1730">
        <v>1</v>
      </c>
      <c r="C37" s="1722" t="s">
        <v>444</v>
      </c>
      <c r="D37" s="1722" t="s">
        <v>84</v>
      </c>
      <c r="E37" s="1797">
        <v>15</v>
      </c>
      <c r="F37" s="1797" t="s">
        <v>84</v>
      </c>
      <c r="G37" s="1716">
        <v>5</v>
      </c>
      <c r="H37" s="1716">
        <v>2</v>
      </c>
      <c r="I37" s="1717">
        <v>1</v>
      </c>
      <c r="J37" s="1722" t="s">
        <v>84</v>
      </c>
      <c r="K37" s="1722" t="s">
        <v>112</v>
      </c>
      <c r="L37" s="1726" t="s">
        <v>502</v>
      </c>
      <c r="M37" s="604"/>
      <c r="N37" s="1738"/>
      <c r="O37" s="1807"/>
      <c r="P37" s="1861">
        <f>P38</f>
        <v>13500000</v>
      </c>
      <c r="Q37" s="604"/>
      <c r="R37" s="1738"/>
      <c r="S37" s="1807"/>
      <c r="T37" s="1882">
        <f>T38</f>
        <v>13500000</v>
      </c>
      <c r="U37" s="756">
        <f>SUM(T37)-P37</f>
        <v>0</v>
      </c>
      <c r="V37" s="761"/>
    </row>
    <row r="38" spans="2:22" x14ac:dyDescent="0.25">
      <c r="B38" s="1730"/>
      <c r="C38" s="1722"/>
      <c r="D38" s="1722"/>
      <c r="E38" s="1731"/>
      <c r="F38" s="1722"/>
      <c r="G38" s="1717"/>
      <c r="H38" s="1717"/>
      <c r="I38" s="1716"/>
      <c r="J38" s="1732"/>
      <c r="K38" s="1722"/>
      <c r="L38" s="1809" t="s">
        <v>624</v>
      </c>
      <c r="M38" s="604"/>
      <c r="N38" s="1738"/>
      <c r="O38" s="1739"/>
      <c r="P38" s="1860">
        <f>SUM(P39:P42)</f>
        <v>13500000</v>
      </c>
      <c r="Q38" s="604"/>
      <c r="R38" s="1738"/>
      <c r="S38" s="1739"/>
      <c r="T38" s="1808">
        <f>SUM(T39:T42)</f>
        <v>13500000</v>
      </c>
      <c r="U38" s="675"/>
      <c r="V38" s="761"/>
    </row>
    <row r="39" spans="2:22" x14ac:dyDescent="0.25">
      <c r="B39" s="1730"/>
      <c r="C39" s="1722"/>
      <c r="D39" s="1722"/>
      <c r="E39" s="1731"/>
      <c r="F39" s="1722"/>
      <c r="G39" s="1717"/>
      <c r="H39" s="1717"/>
      <c r="I39" s="1716"/>
      <c r="J39" s="1732"/>
      <c r="K39" s="1722"/>
      <c r="L39" s="1810" t="s">
        <v>1026</v>
      </c>
      <c r="M39" s="603">
        <f>1*6</f>
        <v>6</v>
      </c>
      <c r="N39" s="1728" t="s">
        <v>82</v>
      </c>
      <c r="O39" s="1811">
        <v>500000</v>
      </c>
      <c r="P39" s="1860">
        <f>M39*O39</f>
        <v>3000000</v>
      </c>
      <c r="Q39" s="603">
        <f>1*6</f>
        <v>6</v>
      </c>
      <c r="R39" s="1728" t="s">
        <v>82</v>
      </c>
      <c r="S39" s="1811">
        <v>500000</v>
      </c>
      <c r="T39" s="1808">
        <f>Q39*S39</f>
        <v>3000000</v>
      </c>
      <c r="U39" s="756">
        <f>SUM(T39)-P39</f>
        <v>0</v>
      </c>
      <c r="V39" s="439">
        <f>U39/P39*100</f>
        <v>0</v>
      </c>
    </row>
    <row r="40" spans="2:22" x14ac:dyDescent="0.25">
      <c r="B40" s="1812"/>
      <c r="C40" s="1813"/>
      <c r="D40" s="1813"/>
      <c r="E40" s="1814"/>
      <c r="F40" s="1813"/>
      <c r="G40" s="1815"/>
      <c r="H40" s="1815"/>
      <c r="I40" s="1816"/>
      <c r="J40" s="1817"/>
      <c r="K40" s="1813"/>
      <c r="L40" s="1818" t="s">
        <v>1027</v>
      </c>
      <c r="M40" s="604">
        <f>1*6</f>
        <v>6</v>
      </c>
      <c r="N40" s="1807" t="s">
        <v>82</v>
      </c>
      <c r="O40" s="1808">
        <v>400000</v>
      </c>
      <c r="P40" s="1860">
        <f>M40*O40</f>
        <v>2400000</v>
      </c>
      <c r="Q40" s="604">
        <f>1*6</f>
        <v>6</v>
      </c>
      <c r="R40" s="1807" t="s">
        <v>82</v>
      </c>
      <c r="S40" s="1808">
        <v>400000</v>
      </c>
      <c r="T40" s="1808">
        <f>Q40*S40</f>
        <v>2400000</v>
      </c>
      <c r="U40" s="756">
        <f>SUM(T40)-P40</f>
        <v>0</v>
      </c>
      <c r="V40" s="439">
        <f>U40/P40*100</f>
        <v>0</v>
      </c>
    </row>
    <row r="41" spans="2:22" x14ac:dyDescent="0.25">
      <c r="B41" s="1812"/>
      <c r="C41" s="1813"/>
      <c r="D41" s="1813"/>
      <c r="E41" s="1814"/>
      <c r="F41" s="1813"/>
      <c r="G41" s="1815"/>
      <c r="H41" s="1815"/>
      <c r="I41" s="1816"/>
      <c r="J41" s="1817"/>
      <c r="K41" s="1813"/>
      <c r="L41" s="1819" t="s">
        <v>1028</v>
      </c>
      <c r="M41" s="604">
        <f>1*6</f>
        <v>6</v>
      </c>
      <c r="N41" s="1807" t="s">
        <v>82</v>
      </c>
      <c r="O41" s="1808">
        <v>350000</v>
      </c>
      <c r="P41" s="1860">
        <f>M41*O41</f>
        <v>2100000</v>
      </c>
      <c r="Q41" s="604">
        <f>1*6</f>
        <v>6</v>
      </c>
      <c r="R41" s="1807" t="s">
        <v>82</v>
      </c>
      <c r="S41" s="1808">
        <v>350000</v>
      </c>
      <c r="T41" s="1808">
        <f>Q41*S41</f>
        <v>2100000</v>
      </c>
      <c r="U41" s="675"/>
      <c r="V41" s="761"/>
    </row>
    <row r="42" spans="2:22" x14ac:dyDescent="0.25">
      <c r="B42" s="1812"/>
      <c r="C42" s="1813"/>
      <c r="D42" s="1813"/>
      <c r="E42" s="1814"/>
      <c r="F42" s="1813"/>
      <c r="G42" s="1815"/>
      <c r="H42" s="1815"/>
      <c r="I42" s="1816"/>
      <c r="J42" s="1817"/>
      <c r="K42" s="1813"/>
      <c r="L42" s="1818" t="s">
        <v>719</v>
      </c>
      <c r="M42" s="604">
        <f>4*6</f>
        <v>24</v>
      </c>
      <c r="N42" s="1807" t="s">
        <v>82</v>
      </c>
      <c r="O42" s="1808">
        <v>250000</v>
      </c>
      <c r="P42" s="1860">
        <f>O42*M42</f>
        <v>6000000</v>
      </c>
      <c r="Q42" s="604">
        <f>4*6</f>
        <v>24</v>
      </c>
      <c r="R42" s="1807" t="s">
        <v>82</v>
      </c>
      <c r="S42" s="1808">
        <v>250000</v>
      </c>
      <c r="T42" s="1808">
        <f>S42*Q42</f>
        <v>6000000</v>
      </c>
      <c r="U42" s="756">
        <f>SUM(T42)-P42</f>
        <v>0</v>
      </c>
      <c r="V42" s="761"/>
    </row>
    <row r="43" spans="2:22" x14ac:dyDescent="0.25">
      <c r="B43" s="1730"/>
      <c r="C43" s="1722"/>
      <c r="D43" s="1722"/>
      <c r="E43" s="1731"/>
      <c r="F43" s="1722"/>
      <c r="G43" s="1717"/>
      <c r="H43" s="1717"/>
      <c r="I43" s="1717"/>
      <c r="J43" s="1722"/>
      <c r="K43" s="1722"/>
      <c r="L43" s="1819"/>
      <c r="M43" s="604"/>
      <c r="N43" s="1728"/>
      <c r="O43" s="1811"/>
      <c r="P43" s="1862"/>
      <c r="Q43" s="604"/>
      <c r="R43" s="1728"/>
      <c r="S43" s="1811"/>
      <c r="T43" s="1811"/>
      <c r="U43" s="756">
        <f>SUM(T43)-P43</f>
        <v>0</v>
      </c>
      <c r="V43" s="761"/>
    </row>
    <row r="44" spans="2:22" x14ac:dyDescent="0.25">
      <c r="B44" s="1730">
        <v>1</v>
      </c>
      <c r="C44" s="1722" t="s">
        <v>444</v>
      </c>
      <c r="D44" s="1722" t="s">
        <v>84</v>
      </c>
      <c r="E44" s="1797">
        <v>15</v>
      </c>
      <c r="F44" s="1797" t="s">
        <v>84</v>
      </c>
      <c r="G44" s="1716">
        <v>5</v>
      </c>
      <c r="H44" s="1716">
        <v>2</v>
      </c>
      <c r="I44" s="1717">
        <v>1</v>
      </c>
      <c r="J44" s="1722" t="s">
        <v>87</v>
      </c>
      <c r="K44" s="1722"/>
      <c r="L44" s="1820" t="s">
        <v>107</v>
      </c>
      <c r="M44" s="604"/>
      <c r="N44" s="1728"/>
      <c r="O44" s="1811"/>
      <c r="P44" s="1859">
        <f>P45</f>
        <v>1100000</v>
      </c>
      <c r="Q44" s="604"/>
      <c r="R44" s="1728"/>
      <c r="S44" s="1811"/>
      <c r="T44" s="1881">
        <f>T45</f>
        <v>1100000</v>
      </c>
      <c r="U44" s="756">
        <f>SUM(T44)-P44</f>
        <v>0</v>
      </c>
      <c r="V44" s="761"/>
    </row>
    <row r="45" spans="2:22" x14ac:dyDescent="0.25">
      <c r="B45" s="1730">
        <v>1</v>
      </c>
      <c r="C45" s="1722" t="s">
        <v>444</v>
      </c>
      <c r="D45" s="1722" t="s">
        <v>84</v>
      </c>
      <c r="E45" s="1797">
        <v>15</v>
      </c>
      <c r="F45" s="1797" t="s">
        <v>84</v>
      </c>
      <c r="G45" s="1716">
        <v>5</v>
      </c>
      <c r="H45" s="1716">
        <v>2</v>
      </c>
      <c r="I45" s="1717">
        <v>1</v>
      </c>
      <c r="J45" s="1722" t="s">
        <v>87</v>
      </c>
      <c r="K45" s="1722" t="s">
        <v>97</v>
      </c>
      <c r="L45" s="1819" t="s">
        <v>503</v>
      </c>
      <c r="M45" s="604"/>
      <c r="N45" s="1728"/>
      <c r="O45" s="1811"/>
      <c r="P45" s="1862">
        <f>SUM(P46:P49)</f>
        <v>1100000</v>
      </c>
      <c r="Q45" s="604"/>
      <c r="R45" s="1728"/>
      <c r="S45" s="1811"/>
      <c r="T45" s="1811">
        <f>SUM(T46:T49)</f>
        <v>1100000</v>
      </c>
      <c r="U45" s="756">
        <f>SUM(T45)-P45</f>
        <v>0</v>
      </c>
      <c r="V45" s="761"/>
    </row>
    <row r="46" spans="2:22" ht="25" x14ac:dyDescent="0.25">
      <c r="B46" s="1730"/>
      <c r="C46" s="1722"/>
      <c r="D46" s="1722"/>
      <c r="E46" s="1731"/>
      <c r="F46" s="1722"/>
      <c r="G46" s="1717"/>
      <c r="H46" s="1717"/>
      <c r="I46" s="1717"/>
      <c r="J46" s="1722"/>
      <c r="K46" s="1722"/>
      <c r="L46" s="1818" t="s">
        <v>720</v>
      </c>
      <c r="M46" s="604">
        <v>1</v>
      </c>
      <c r="N46" s="604" t="s">
        <v>189</v>
      </c>
      <c r="O46" s="1821">
        <v>300000</v>
      </c>
      <c r="P46" s="1821">
        <f>M46*O46</f>
        <v>300000</v>
      </c>
      <c r="Q46" s="604">
        <v>1</v>
      </c>
      <c r="R46" s="604" t="s">
        <v>189</v>
      </c>
      <c r="S46" s="1821">
        <v>300000</v>
      </c>
      <c r="T46" s="804">
        <f>Q46*S46</f>
        <v>300000</v>
      </c>
      <c r="U46" s="756">
        <f t="shared" ref="U46:U47" si="0">SUM(T46)-P46</f>
        <v>0</v>
      </c>
      <c r="V46" s="761"/>
    </row>
    <row r="47" spans="2:22" ht="25" x14ac:dyDescent="0.25">
      <c r="B47" s="1730"/>
      <c r="C47" s="1722"/>
      <c r="D47" s="1722"/>
      <c r="E47" s="1731"/>
      <c r="F47" s="1722"/>
      <c r="G47" s="1717"/>
      <c r="H47" s="1717"/>
      <c r="I47" s="1717"/>
      <c r="J47" s="1722"/>
      <c r="K47" s="1722"/>
      <c r="L47" s="1818" t="s">
        <v>721</v>
      </c>
      <c r="M47" s="604">
        <v>1</v>
      </c>
      <c r="N47" s="604" t="s">
        <v>189</v>
      </c>
      <c r="O47" s="1821">
        <v>300000</v>
      </c>
      <c r="P47" s="1821">
        <f>M47*O47</f>
        <v>300000</v>
      </c>
      <c r="Q47" s="604">
        <v>1</v>
      </c>
      <c r="R47" s="604" t="s">
        <v>189</v>
      </c>
      <c r="S47" s="1821">
        <v>300000</v>
      </c>
      <c r="T47" s="804">
        <f>Q47*S47</f>
        <v>300000</v>
      </c>
      <c r="U47" s="756">
        <f t="shared" si="0"/>
        <v>0</v>
      </c>
      <c r="V47" s="761"/>
    </row>
    <row r="48" spans="2:22" ht="25" x14ac:dyDescent="0.25">
      <c r="B48" s="1730"/>
      <c r="C48" s="1722"/>
      <c r="D48" s="1722"/>
      <c r="E48" s="1731"/>
      <c r="F48" s="1722"/>
      <c r="G48" s="1717"/>
      <c r="H48" s="1717"/>
      <c r="I48" s="1717"/>
      <c r="J48" s="1722"/>
      <c r="K48" s="1722"/>
      <c r="L48" s="1818" t="s">
        <v>722</v>
      </c>
      <c r="M48" s="604">
        <v>1</v>
      </c>
      <c r="N48" s="604" t="s">
        <v>189</v>
      </c>
      <c r="O48" s="1821">
        <v>300000</v>
      </c>
      <c r="P48" s="1821">
        <f>M48*O48</f>
        <v>300000</v>
      </c>
      <c r="Q48" s="604">
        <v>1</v>
      </c>
      <c r="R48" s="604" t="s">
        <v>189</v>
      </c>
      <c r="S48" s="1821">
        <v>300000</v>
      </c>
      <c r="T48" s="804">
        <f>Q48*S48</f>
        <v>300000</v>
      </c>
      <c r="U48" s="756">
        <f>SUM(T48)-P48</f>
        <v>0</v>
      </c>
      <c r="V48" s="439">
        <f>U48/P48*100</f>
        <v>0</v>
      </c>
    </row>
    <row r="49" spans="2:22" ht="25" x14ac:dyDescent="0.25">
      <c r="B49" s="1730"/>
      <c r="C49" s="1722"/>
      <c r="D49" s="1722"/>
      <c r="E49" s="1731"/>
      <c r="F49" s="1722"/>
      <c r="G49" s="1717"/>
      <c r="H49" s="1717"/>
      <c r="I49" s="1717"/>
      <c r="J49" s="1722"/>
      <c r="K49" s="1722"/>
      <c r="L49" s="1818" t="s">
        <v>723</v>
      </c>
      <c r="M49" s="604">
        <v>2</v>
      </c>
      <c r="N49" s="802" t="s">
        <v>189</v>
      </c>
      <c r="O49" s="804">
        <v>100000</v>
      </c>
      <c r="P49" s="1863">
        <f>M49*O49</f>
        <v>200000</v>
      </c>
      <c r="Q49" s="604">
        <v>2</v>
      </c>
      <c r="R49" s="802" t="s">
        <v>189</v>
      </c>
      <c r="S49" s="804">
        <v>100000</v>
      </c>
      <c r="T49" s="1823">
        <f>Q49*S49</f>
        <v>200000</v>
      </c>
      <c r="U49" s="756"/>
      <c r="V49" s="439"/>
    </row>
    <row r="50" spans="2:22" x14ac:dyDescent="0.25">
      <c r="B50" s="1730"/>
      <c r="C50" s="1722"/>
      <c r="D50" s="1722"/>
      <c r="E50" s="1731"/>
      <c r="F50" s="1722"/>
      <c r="G50" s="1717"/>
      <c r="H50" s="1717"/>
      <c r="I50" s="1717"/>
      <c r="J50" s="1722"/>
      <c r="K50" s="1722"/>
      <c r="L50" s="1822"/>
      <c r="M50" s="604"/>
      <c r="N50" s="802"/>
      <c r="O50" s="1823"/>
      <c r="P50" s="1864"/>
      <c r="Q50" s="604"/>
      <c r="R50" s="802"/>
      <c r="S50" s="1823"/>
      <c r="T50" s="1883"/>
      <c r="U50" s="756">
        <f>SUM(T50)-P50</f>
        <v>0</v>
      </c>
      <c r="V50" s="761"/>
    </row>
    <row r="51" spans="2:22" ht="13.5" customHeight="1" x14ac:dyDescent="0.25">
      <c r="B51" s="1730">
        <v>1</v>
      </c>
      <c r="C51" s="1722" t="s">
        <v>444</v>
      </c>
      <c r="D51" s="1722" t="s">
        <v>84</v>
      </c>
      <c r="E51" s="1797">
        <v>15</v>
      </c>
      <c r="F51" s="1797" t="s">
        <v>84</v>
      </c>
      <c r="G51" s="1717">
        <v>5</v>
      </c>
      <c r="H51" s="1717">
        <v>2</v>
      </c>
      <c r="I51" s="1717">
        <v>2</v>
      </c>
      <c r="J51" s="1722"/>
      <c r="K51" s="1722"/>
      <c r="L51" s="1824" t="s">
        <v>64</v>
      </c>
      <c r="M51" s="1825"/>
      <c r="N51" s="805"/>
      <c r="O51" s="1826"/>
      <c r="P51" s="1865">
        <f>SUM(P52+P64+P73)</f>
        <v>16183930</v>
      </c>
      <c r="Q51" s="1825"/>
      <c r="R51" s="805"/>
      <c r="S51" s="1826"/>
      <c r="T51" s="1884">
        <f>SUM(T52+T64+T73)</f>
        <v>16183930</v>
      </c>
      <c r="U51" s="756">
        <f>SUM(T51)-P51</f>
        <v>0</v>
      </c>
      <c r="V51" s="761"/>
    </row>
    <row r="52" spans="2:22" ht="13.5" customHeight="1" x14ac:dyDescent="0.25">
      <c r="B52" s="1730">
        <v>1</v>
      </c>
      <c r="C52" s="1722" t="s">
        <v>444</v>
      </c>
      <c r="D52" s="1722" t="s">
        <v>84</v>
      </c>
      <c r="E52" s="1797">
        <v>15</v>
      </c>
      <c r="F52" s="1797" t="s">
        <v>84</v>
      </c>
      <c r="G52" s="1716">
        <v>5</v>
      </c>
      <c r="H52" s="1716">
        <v>2</v>
      </c>
      <c r="I52" s="1716">
        <v>2</v>
      </c>
      <c r="J52" s="1797" t="s">
        <v>84</v>
      </c>
      <c r="K52" s="1717"/>
      <c r="L52" s="1827" t="s">
        <v>55</v>
      </c>
      <c r="M52" s="1094"/>
      <c r="N52" s="1828"/>
      <c r="O52" s="1829"/>
      <c r="P52" s="1866">
        <f>P53</f>
        <v>643930</v>
      </c>
      <c r="Q52" s="1094"/>
      <c r="R52" s="1828"/>
      <c r="S52" s="1829"/>
      <c r="T52" s="1885">
        <f>T53</f>
        <v>643930</v>
      </c>
      <c r="U52" s="756">
        <f>SUM(T52)-P52</f>
        <v>0</v>
      </c>
      <c r="V52" s="761"/>
    </row>
    <row r="53" spans="2:22" ht="13.5" customHeight="1" x14ac:dyDescent="0.25">
      <c r="B53" s="1730">
        <v>1</v>
      </c>
      <c r="C53" s="1722" t="s">
        <v>444</v>
      </c>
      <c r="D53" s="1722" t="s">
        <v>84</v>
      </c>
      <c r="E53" s="1797">
        <v>15</v>
      </c>
      <c r="F53" s="1797" t="s">
        <v>84</v>
      </c>
      <c r="G53" s="1716">
        <v>5</v>
      </c>
      <c r="H53" s="1716">
        <v>2</v>
      </c>
      <c r="I53" s="1716">
        <v>2</v>
      </c>
      <c r="J53" s="1797" t="s">
        <v>84</v>
      </c>
      <c r="K53" s="1797" t="s">
        <v>84</v>
      </c>
      <c r="L53" s="1830" t="s">
        <v>70</v>
      </c>
      <c r="M53" s="1094"/>
      <c r="N53" s="1728"/>
      <c r="O53" s="1831"/>
      <c r="P53" s="1867">
        <f>SUM(P54:P62)</f>
        <v>643930</v>
      </c>
      <c r="Q53" s="1094"/>
      <c r="R53" s="1728"/>
      <c r="S53" s="1831"/>
      <c r="T53" s="1841">
        <f>SUM(T54:T62)</f>
        <v>643930</v>
      </c>
      <c r="U53" s="756">
        <f>SUM(T53)-P53</f>
        <v>0</v>
      </c>
      <c r="V53" s="761"/>
    </row>
    <row r="54" spans="2:22" ht="12" customHeight="1" x14ac:dyDescent="0.25">
      <c r="B54" s="1730"/>
      <c r="C54" s="1722"/>
      <c r="D54" s="1722"/>
      <c r="E54" s="1731"/>
      <c r="F54" s="1731"/>
      <c r="G54" s="1717"/>
      <c r="H54" s="1717"/>
      <c r="I54" s="1717"/>
      <c r="J54" s="1731"/>
      <c r="K54" s="1731"/>
      <c r="L54" s="1832" t="s">
        <v>724</v>
      </c>
      <c r="M54" s="1833">
        <v>3</v>
      </c>
      <c r="N54" s="1834" t="s">
        <v>89</v>
      </c>
      <c r="O54" s="1835">
        <v>65000</v>
      </c>
      <c r="P54" s="1868">
        <f>O54*M54</f>
        <v>195000</v>
      </c>
      <c r="Q54" s="1833">
        <v>3</v>
      </c>
      <c r="R54" s="1834" t="s">
        <v>89</v>
      </c>
      <c r="S54" s="1835">
        <v>65000</v>
      </c>
      <c r="T54" s="1835">
        <f>S54*Q54</f>
        <v>195000</v>
      </c>
      <c r="U54" s="756">
        <f>SUM(T54)-P54</f>
        <v>0</v>
      </c>
      <c r="V54" s="761"/>
    </row>
    <row r="55" spans="2:22" ht="13.5" customHeight="1" x14ac:dyDescent="0.25">
      <c r="B55" s="1730"/>
      <c r="C55" s="1722"/>
      <c r="D55" s="1722"/>
      <c r="E55" s="1731"/>
      <c r="F55" s="1731"/>
      <c r="G55" s="1717"/>
      <c r="H55" s="1717"/>
      <c r="I55" s="1717"/>
      <c r="J55" s="1731"/>
      <c r="K55" s="1731"/>
      <c r="L55" s="1832" t="s">
        <v>633</v>
      </c>
      <c r="M55" s="1161">
        <v>3</v>
      </c>
      <c r="N55" s="1836" t="s">
        <v>89</v>
      </c>
      <c r="O55" s="1837">
        <v>60000</v>
      </c>
      <c r="P55" s="1869">
        <f>O55*M55</f>
        <v>180000</v>
      </c>
      <c r="Q55" s="1161">
        <v>3</v>
      </c>
      <c r="R55" s="1836" t="s">
        <v>89</v>
      </c>
      <c r="S55" s="1837">
        <v>60000</v>
      </c>
      <c r="T55" s="1837">
        <f>S55*Q55</f>
        <v>180000</v>
      </c>
      <c r="U55" s="756">
        <f t="shared" ref="U55:U56" si="1">SUM(T55)-P55</f>
        <v>0</v>
      </c>
      <c r="V55" s="761"/>
    </row>
    <row r="56" spans="2:22" ht="13.5" customHeight="1" x14ac:dyDescent="0.25">
      <c r="B56" s="1730"/>
      <c r="C56" s="1722"/>
      <c r="D56" s="1722"/>
      <c r="E56" s="1731"/>
      <c r="F56" s="1731"/>
      <c r="G56" s="1717"/>
      <c r="H56" s="1717"/>
      <c r="I56" s="1717"/>
      <c r="J56" s="1731"/>
      <c r="K56" s="1731"/>
      <c r="L56" s="1832" t="s">
        <v>1029</v>
      </c>
      <c r="M56" s="1161">
        <v>1</v>
      </c>
      <c r="N56" s="1836" t="s">
        <v>445</v>
      </c>
      <c r="O56" s="1837">
        <v>20000</v>
      </c>
      <c r="P56" s="1869">
        <f>O56*M56</f>
        <v>20000</v>
      </c>
      <c r="Q56" s="1161">
        <v>1</v>
      </c>
      <c r="R56" s="1836" t="s">
        <v>445</v>
      </c>
      <c r="S56" s="1837">
        <v>20000</v>
      </c>
      <c r="T56" s="1837">
        <f>S56*Q56</f>
        <v>20000</v>
      </c>
      <c r="U56" s="756">
        <f t="shared" si="1"/>
        <v>0</v>
      </c>
      <c r="V56" s="761"/>
    </row>
    <row r="57" spans="2:22" ht="13.5" customHeight="1" x14ac:dyDescent="0.25">
      <c r="B57" s="1730"/>
      <c r="C57" s="1722"/>
      <c r="D57" s="1722"/>
      <c r="E57" s="1731"/>
      <c r="F57" s="1731"/>
      <c r="G57" s="1717"/>
      <c r="H57" s="1717"/>
      <c r="I57" s="1717"/>
      <c r="J57" s="1731"/>
      <c r="K57" s="1731"/>
      <c r="L57" s="1832" t="s">
        <v>1030</v>
      </c>
      <c r="M57" s="1161">
        <v>1</v>
      </c>
      <c r="N57" s="1836" t="s">
        <v>471</v>
      </c>
      <c r="O57" s="1837">
        <v>43000</v>
      </c>
      <c r="P57" s="1869">
        <f>O57*M57</f>
        <v>43000</v>
      </c>
      <c r="Q57" s="1161">
        <v>1</v>
      </c>
      <c r="R57" s="1836" t="s">
        <v>471</v>
      </c>
      <c r="S57" s="1837">
        <v>43000</v>
      </c>
      <c r="T57" s="1837">
        <f>S57*Q57</f>
        <v>43000</v>
      </c>
      <c r="U57" s="756">
        <f>SUM(T57)-P57</f>
        <v>0</v>
      </c>
      <c r="V57" s="761"/>
    </row>
    <row r="58" spans="2:22" ht="12.65" customHeight="1" x14ac:dyDescent="0.25">
      <c r="B58" s="1730"/>
      <c r="C58" s="1722"/>
      <c r="D58" s="1722"/>
      <c r="E58" s="1731"/>
      <c r="F58" s="1722"/>
      <c r="G58" s="1717"/>
      <c r="H58" s="1717"/>
      <c r="I58" s="1717"/>
      <c r="J58" s="1722"/>
      <c r="K58" s="1722"/>
      <c r="L58" s="1832" t="s">
        <v>1031</v>
      </c>
      <c r="M58" s="1161">
        <v>1</v>
      </c>
      <c r="N58" s="1836" t="s">
        <v>446</v>
      </c>
      <c r="O58" s="1837">
        <v>32000</v>
      </c>
      <c r="P58" s="1869">
        <f t="shared" ref="P58:P62" si="2">O58*M58</f>
        <v>32000</v>
      </c>
      <c r="Q58" s="1161">
        <v>1</v>
      </c>
      <c r="R58" s="1836" t="s">
        <v>446</v>
      </c>
      <c r="S58" s="1837">
        <v>32000</v>
      </c>
      <c r="T58" s="1837">
        <f t="shared" ref="T58:T62" si="3">S58*Q58</f>
        <v>32000</v>
      </c>
      <c r="U58" s="756">
        <f>SUM(T58)-P58</f>
        <v>0</v>
      </c>
      <c r="V58" s="761"/>
    </row>
    <row r="59" spans="2:22" ht="13.5" customHeight="1" x14ac:dyDescent="0.25">
      <c r="B59" s="1730"/>
      <c r="C59" s="1722"/>
      <c r="D59" s="1722"/>
      <c r="E59" s="1731"/>
      <c r="F59" s="1722"/>
      <c r="G59" s="1717"/>
      <c r="H59" s="1717"/>
      <c r="I59" s="1717"/>
      <c r="J59" s="1722"/>
      <c r="K59" s="1722"/>
      <c r="L59" s="1832" t="s">
        <v>1032</v>
      </c>
      <c r="M59" s="1161">
        <v>2</v>
      </c>
      <c r="N59" s="1836" t="s">
        <v>471</v>
      </c>
      <c r="O59" s="1837">
        <v>26000</v>
      </c>
      <c r="P59" s="1869">
        <f t="shared" si="2"/>
        <v>52000</v>
      </c>
      <c r="Q59" s="1161">
        <v>2</v>
      </c>
      <c r="R59" s="1836" t="s">
        <v>471</v>
      </c>
      <c r="S59" s="1837">
        <v>26000</v>
      </c>
      <c r="T59" s="1837">
        <f t="shared" si="3"/>
        <v>52000</v>
      </c>
      <c r="U59" s="756">
        <f>SUM(T59)-P59</f>
        <v>0</v>
      </c>
      <c r="V59" s="761"/>
    </row>
    <row r="60" spans="2:22" ht="13.5" customHeight="1" x14ac:dyDescent="0.25">
      <c r="B60" s="1730"/>
      <c r="C60" s="1722"/>
      <c r="D60" s="1722"/>
      <c r="E60" s="1797"/>
      <c r="F60" s="1797"/>
      <c r="G60" s="1716"/>
      <c r="H60" s="1716"/>
      <c r="I60" s="1716"/>
      <c r="J60" s="1722"/>
      <c r="K60" s="1717"/>
      <c r="L60" s="1832" t="s">
        <v>726</v>
      </c>
      <c r="M60" s="1838">
        <v>1</v>
      </c>
      <c r="N60" s="1839" t="s">
        <v>446</v>
      </c>
      <c r="O60" s="1840">
        <v>77000</v>
      </c>
      <c r="P60" s="1870">
        <f t="shared" si="2"/>
        <v>77000</v>
      </c>
      <c r="Q60" s="1838">
        <v>1</v>
      </c>
      <c r="R60" s="1839" t="s">
        <v>446</v>
      </c>
      <c r="S60" s="1840">
        <v>77000</v>
      </c>
      <c r="T60" s="1840">
        <f t="shared" si="3"/>
        <v>77000</v>
      </c>
      <c r="U60" s="756">
        <f t="shared" ref="U60:U66" si="4">SUM(T60)-P60</f>
        <v>0</v>
      </c>
      <c r="V60" s="761"/>
    </row>
    <row r="61" spans="2:22" ht="13.5" customHeight="1" x14ac:dyDescent="0.25">
      <c r="B61" s="1730"/>
      <c r="C61" s="1722"/>
      <c r="D61" s="1722"/>
      <c r="E61" s="1797"/>
      <c r="F61" s="1797"/>
      <c r="G61" s="1716"/>
      <c r="H61" s="1716"/>
      <c r="I61" s="1716"/>
      <c r="J61" s="1722"/>
      <c r="K61" s="1722"/>
      <c r="L61" s="1832" t="s">
        <v>727</v>
      </c>
      <c r="M61" s="1094">
        <v>1</v>
      </c>
      <c r="N61" s="1727" t="s">
        <v>446</v>
      </c>
      <c r="O61" s="1841">
        <v>12930</v>
      </c>
      <c r="P61" s="1867">
        <f t="shared" si="2"/>
        <v>12930</v>
      </c>
      <c r="Q61" s="1094">
        <v>1</v>
      </c>
      <c r="R61" s="1727" t="s">
        <v>446</v>
      </c>
      <c r="S61" s="1841">
        <v>12930</v>
      </c>
      <c r="T61" s="1841">
        <f t="shared" si="3"/>
        <v>12930</v>
      </c>
      <c r="U61" s="756">
        <f t="shared" si="4"/>
        <v>0</v>
      </c>
      <c r="V61" s="761"/>
    </row>
    <row r="62" spans="2:22" ht="13.5" customHeight="1" x14ac:dyDescent="0.25">
      <c r="B62" s="1730"/>
      <c r="C62" s="1722"/>
      <c r="D62" s="1722"/>
      <c r="E62" s="1731"/>
      <c r="F62" s="1731"/>
      <c r="G62" s="1717"/>
      <c r="H62" s="1717"/>
      <c r="I62" s="1717"/>
      <c r="J62" s="1722"/>
      <c r="K62" s="1722"/>
      <c r="L62" s="1832" t="s">
        <v>1033</v>
      </c>
      <c r="M62" s="1094">
        <v>1</v>
      </c>
      <c r="N62" s="1727" t="s">
        <v>471</v>
      </c>
      <c r="O62" s="1841">
        <v>32000</v>
      </c>
      <c r="P62" s="1867">
        <f t="shared" si="2"/>
        <v>32000</v>
      </c>
      <c r="Q62" s="1094">
        <v>1</v>
      </c>
      <c r="R62" s="1727" t="s">
        <v>471</v>
      </c>
      <c r="S62" s="1841">
        <v>32000</v>
      </c>
      <c r="T62" s="1841">
        <f t="shared" si="3"/>
        <v>32000</v>
      </c>
      <c r="U62" s="756">
        <f t="shared" si="4"/>
        <v>0</v>
      </c>
      <c r="V62" s="761"/>
    </row>
    <row r="63" spans="2:22" ht="13.5" customHeight="1" x14ac:dyDescent="0.25">
      <c r="B63" s="1730"/>
      <c r="C63" s="1722"/>
      <c r="D63" s="1722"/>
      <c r="E63" s="1731"/>
      <c r="F63" s="1731"/>
      <c r="G63" s="1717"/>
      <c r="H63" s="1717"/>
      <c r="I63" s="1717"/>
      <c r="J63" s="1722"/>
      <c r="K63" s="1722"/>
      <c r="L63" s="1842"/>
      <c r="M63" s="1094"/>
      <c r="N63" s="1727"/>
      <c r="O63" s="1841"/>
      <c r="P63" s="1867"/>
      <c r="Q63" s="1094"/>
      <c r="R63" s="1727"/>
      <c r="S63" s="1841"/>
      <c r="T63" s="1841"/>
      <c r="U63" s="756">
        <f t="shared" si="4"/>
        <v>0</v>
      </c>
      <c r="V63" s="761"/>
    </row>
    <row r="64" spans="2:22" ht="13.5" customHeight="1" x14ac:dyDescent="0.25">
      <c r="B64" s="1730">
        <v>1</v>
      </c>
      <c r="C64" s="1722" t="s">
        <v>444</v>
      </c>
      <c r="D64" s="1722" t="s">
        <v>84</v>
      </c>
      <c r="E64" s="1797">
        <v>15</v>
      </c>
      <c r="F64" s="1797" t="s">
        <v>84</v>
      </c>
      <c r="G64" s="1717">
        <v>5</v>
      </c>
      <c r="H64" s="1717">
        <v>2</v>
      </c>
      <c r="I64" s="1717">
        <v>2</v>
      </c>
      <c r="J64" s="1797" t="s">
        <v>97</v>
      </c>
      <c r="K64" s="1722"/>
      <c r="L64" s="1843" t="s">
        <v>57</v>
      </c>
      <c r="M64" s="1094"/>
      <c r="N64" s="1727"/>
      <c r="O64" s="1841"/>
      <c r="P64" s="1866">
        <f>P68+P65</f>
        <v>13440000</v>
      </c>
      <c r="Q64" s="1094"/>
      <c r="R64" s="1727"/>
      <c r="S64" s="1841"/>
      <c r="T64" s="1885">
        <f>T68+T65</f>
        <v>13440000</v>
      </c>
      <c r="U64" s="756">
        <f t="shared" si="4"/>
        <v>0</v>
      </c>
      <c r="V64" s="761"/>
    </row>
    <row r="65" spans="2:23" ht="13.5" customHeight="1" x14ac:dyDescent="0.25">
      <c r="B65" s="1730">
        <v>1</v>
      </c>
      <c r="C65" s="1722" t="s">
        <v>444</v>
      </c>
      <c r="D65" s="1722" t="s">
        <v>84</v>
      </c>
      <c r="E65" s="1797">
        <v>15</v>
      </c>
      <c r="F65" s="1797" t="s">
        <v>84</v>
      </c>
      <c r="G65" s="1717">
        <v>5</v>
      </c>
      <c r="H65" s="1717">
        <v>2</v>
      </c>
      <c r="I65" s="1717">
        <v>2</v>
      </c>
      <c r="J65" s="1797" t="s">
        <v>97</v>
      </c>
      <c r="K65" s="1004">
        <v>12</v>
      </c>
      <c r="L65" s="1844" t="s">
        <v>141</v>
      </c>
      <c r="M65" s="1009"/>
      <c r="N65" s="1010"/>
      <c r="O65" s="1039"/>
      <c r="P65" s="1319">
        <f>SUM(P66)</f>
        <v>800000</v>
      </c>
      <c r="Q65" s="1009"/>
      <c r="R65" s="1010"/>
      <c r="S65" s="1039"/>
      <c r="T65" s="1047">
        <f>SUM(T66)</f>
        <v>800000</v>
      </c>
      <c r="U65" s="756">
        <f t="shared" si="4"/>
        <v>0</v>
      </c>
      <c r="V65" s="761"/>
    </row>
    <row r="66" spans="2:23" ht="13.5" customHeight="1" x14ac:dyDescent="0.25">
      <c r="B66" s="1845"/>
      <c r="C66" s="1846"/>
      <c r="D66" s="1846"/>
      <c r="E66" s="1846"/>
      <c r="F66" s="1846"/>
      <c r="G66" s="1846"/>
      <c r="H66" s="1846"/>
      <c r="I66" s="1847"/>
      <c r="J66" s="1847"/>
      <c r="K66" s="1848"/>
      <c r="L66" s="1849" t="s">
        <v>1034</v>
      </c>
      <c r="M66" s="603">
        <v>1</v>
      </c>
      <c r="N66" s="801" t="s">
        <v>189</v>
      </c>
      <c r="O66" s="1850">
        <v>800000</v>
      </c>
      <c r="P66" s="1871">
        <f>O66*M66</f>
        <v>800000</v>
      </c>
      <c r="Q66" s="603">
        <v>1</v>
      </c>
      <c r="R66" s="801" t="s">
        <v>189</v>
      </c>
      <c r="S66" s="1850">
        <v>800000</v>
      </c>
      <c r="T66" s="1886">
        <f>S66*Q66</f>
        <v>800000</v>
      </c>
      <c r="U66" s="756">
        <f t="shared" si="4"/>
        <v>0</v>
      </c>
      <c r="V66" s="761"/>
    </row>
    <row r="67" spans="2:23" ht="13.5" customHeight="1" x14ac:dyDescent="0.25">
      <c r="B67" s="1845"/>
      <c r="C67" s="1846"/>
      <c r="D67" s="1846"/>
      <c r="E67" s="1846"/>
      <c r="F67" s="1846"/>
      <c r="G67" s="1846"/>
      <c r="H67" s="1846"/>
      <c r="I67" s="1847"/>
      <c r="J67" s="1847"/>
      <c r="K67" s="1848"/>
      <c r="L67" s="1851"/>
      <c r="M67" s="1029"/>
      <c r="N67" s="1836"/>
      <c r="O67" s="1852"/>
      <c r="P67" s="1869"/>
      <c r="Q67" s="1029"/>
      <c r="R67" s="1836"/>
      <c r="S67" s="1852"/>
      <c r="T67" s="1837"/>
      <c r="U67" s="756">
        <f>SUM(T67)-P67</f>
        <v>0</v>
      </c>
      <c r="V67" s="761"/>
    </row>
    <row r="68" spans="2:23" ht="13.5" customHeight="1" x14ac:dyDescent="0.25">
      <c r="B68" s="1730">
        <v>1</v>
      </c>
      <c r="C68" s="1722" t="s">
        <v>444</v>
      </c>
      <c r="D68" s="1722" t="s">
        <v>84</v>
      </c>
      <c r="E68" s="1797">
        <v>15</v>
      </c>
      <c r="F68" s="1797" t="s">
        <v>84</v>
      </c>
      <c r="G68" s="1717">
        <v>5</v>
      </c>
      <c r="H68" s="1717">
        <v>2</v>
      </c>
      <c r="I68" s="1717">
        <v>2</v>
      </c>
      <c r="J68" s="1797" t="s">
        <v>97</v>
      </c>
      <c r="K68" s="1722">
        <v>27</v>
      </c>
      <c r="L68" s="1849" t="s">
        <v>467</v>
      </c>
      <c r="M68" s="1853"/>
      <c r="N68" s="1853"/>
      <c r="O68" s="1854"/>
      <c r="P68" s="1867">
        <f>SUM(P69:P71)</f>
        <v>12640000</v>
      </c>
      <c r="Q68" s="1853"/>
      <c r="R68" s="1853"/>
      <c r="S68" s="1887"/>
      <c r="T68" s="1841">
        <f>SUM(T69:T71)</f>
        <v>12640000</v>
      </c>
      <c r="U68" s="756">
        <f>SUM(T68)-P68</f>
        <v>0</v>
      </c>
      <c r="V68" s="761"/>
    </row>
    <row r="69" spans="2:23" ht="13.5" customHeight="1" x14ac:dyDescent="0.25">
      <c r="B69" s="1730"/>
      <c r="C69" s="1722"/>
      <c r="D69" s="1722"/>
      <c r="E69" s="1731"/>
      <c r="F69" s="1731"/>
      <c r="G69" s="1717"/>
      <c r="H69" s="1717"/>
      <c r="I69" s="1717"/>
      <c r="J69" s="1722"/>
      <c r="K69" s="1722"/>
      <c r="L69" s="1855" t="s">
        <v>1035</v>
      </c>
      <c r="M69" s="830">
        <f>1*1*4</f>
        <v>4</v>
      </c>
      <c r="N69" s="1094" t="s">
        <v>454</v>
      </c>
      <c r="O69" s="1153">
        <v>500000</v>
      </c>
      <c r="P69" s="1153">
        <f>M69*O69</f>
        <v>2000000</v>
      </c>
      <c r="Q69" s="830">
        <f>1*1*4</f>
        <v>4</v>
      </c>
      <c r="R69" s="1094" t="s">
        <v>454</v>
      </c>
      <c r="S69" s="1153">
        <v>500000</v>
      </c>
      <c r="T69" s="809">
        <f>Q69*S69</f>
        <v>2000000</v>
      </c>
      <c r="U69" s="756">
        <f>SUM(T69)-P69</f>
        <v>0</v>
      </c>
      <c r="V69" s="761"/>
    </row>
    <row r="70" spans="2:23" ht="13.5" customHeight="1" x14ac:dyDescent="0.25">
      <c r="B70" s="1730"/>
      <c r="C70" s="1722"/>
      <c r="D70" s="1722"/>
      <c r="E70" s="1731"/>
      <c r="F70" s="1731"/>
      <c r="G70" s="1717"/>
      <c r="H70" s="1717"/>
      <c r="I70" s="1717"/>
      <c r="J70" s="1722"/>
      <c r="K70" s="1722"/>
      <c r="L70" s="1856" t="s">
        <v>729</v>
      </c>
      <c r="M70" s="830">
        <f>1*1*4</f>
        <v>4</v>
      </c>
      <c r="N70" s="830" t="s">
        <v>454</v>
      </c>
      <c r="O70" s="1857">
        <v>35000</v>
      </c>
      <c r="P70" s="1872">
        <f>M70*O70</f>
        <v>140000</v>
      </c>
      <c r="Q70" s="830">
        <f>1*1*4</f>
        <v>4</v>
      </c>
      <c r="R70" s="830" t="s">
        <v>454</v>
      </c>
      <c r="S70" s="1857">
        <v>35000</v>
      </c>
      <c r="T70" s="1739">
        <f>Q70*S70</f>
        <v>140000</v>
      </c>
      <c r="U70" s="756"/>
      <c r="V70" s="761"/>
    </row>
    <row r="71" spans="2:23" ht="13.5" customHeight="1" x14ac:dyDescent="0.25">
      <c r="B71" s="1730"/>
      <c r="C71" s="1722"/>
      <c r="D71" s="1722"/>
      <c r="E71" s="1731"/>
      <c r="F71" s="1731"/>
      <c r="G71" s="1717"/>
      <c r="H71" s="1717"/>
      <c r="I71" s="1717"/>
      <c r="J71" s="1722"/>
      <c r="K71" s="1722"/>
      <c r="L71" s="1849" t="s">
        <v>730</v>
      </c>
      <c r="M71" s="1094">
        <v>1</v>
      </c>
      <c r="N71" s="1094" t="s">
        <v>653</v>
      </c>
      <c r="O71" s="1153">
        <v>10500000</v>
      </c>
      <c r="P71" s="1867">
        <f>M71*O71</f>
        <v>10500000</v>
      </c>
      <c r="Q71" s="1094">
        <v>1</v>
      </c>
      <c r="R71" s="1094" t="s">
        <v>653</v>
      </c>
      <c r="S71" s="1153">
        <v>10500000</v>
      </c>
      <c r="T71" s="1841">
        <f>Q71*S71</f>
        <v>10500000</v>
      </c>
      <c r="U71" s="756">
        <f>SUM(T71)-P71</f>
        <v>0</v>
      </c>
      <c r="V71" s="761"/>
    </row>
    <row r="72" spans="2:23" ht="13.5" customHeight="1" x14ac:dyDescent="0.25">
      <c r="B72" s="1730"/>
      <c r="C72" s="1722"/>
      <c r="D72" s="1722"/>
      <c r="E72" s="1731"/>
      <c r="F72" s="1731"/>
      <c r="G72" s="1717"/>
      <c r="H72" s="1717"/>
      <c r="I72" s="1717"/>
      <c r="J72" s="1722"/>
      <c r="K72" s="1722"/>
      <c r="L72" s="1849"/>
      <c r="M72" s="1094"/>
      <c r="N72" s="1727"/>
      <c r="O72" s="1841"/>
      <c r="P72" s="1867"/>
      <c r="Q72" s="1094"/>
      <c r="R72" s="1727"/>
      <c r="S72" s="1841"/>
      <c r="T72" s="1841"/>
      <c r="U72" s="756">
        <f>SUM(T72)-P72</f>
        <v>0</v>
      </c>
      <c r="V72" s="761"/>
    </row>
    <row r="73" spans="2:23" ht="13.5" customHeight="1" x14ac:dyDescent="0.25">
      <c r="B73" s="1730">
        <v>1</v>
      </c>
      <c r="C73" s="1722" t="s">
        <v>444</v>
      </c>
      <c r="D73" s="1722" t="s">
        <v>84</v>
      </c>
      <c r="E73" s="1797">
        <v>15</v>
      </c>
      <c r="F73" s="1797" t="s">
        <v>84</v>
      </c>
      <c r="G73" s="1717">
        <v>5</v>
      </c>
      <c r="H73" s="1717">
        <v>2</v>
      </c>
      <c r="I73" s="1717">
        <v>2</v>
      </c>
      <c r="J73" s="1797">
        <v>11</v>
      </c>
      <c r="K73" s="1797"/>
      <c r="L73" s="1843" t="s">
        <v>187</v>
      </c>
      <c r="M73" s="1094"/>
      <c r="N73" s="1727"/>
      <c r="O73" s="1841"/>
      <c r="P73" s="1866">
        <f>P74</f>
        <v>2100000</v>
      </c>
      <c r="Q73" s="1094"/>
      <c r="R73" s="1727"/>
      <c r="S73" s="1841"/>
      <c r="T73" s="1885">
        <f>T74</f>
        <v>2100000</v>
      </c>
      <c r="U73" s="756"/>
      <c r="V73" s="761"/>
    </row>
    <row r="74" spans="2:23" ht="13.5" customHeight="1" x14ac:dyDescent="0.25">
      <c r="B74" s="1730">
        <v>1</v>
      </c>
      <c r="C74" s="1722" t="s">
        <v>444</v>
      </c>
      <c r="D74" s="1722" t="s">
        <v>84</v>
      </c>
      <c r="E74" s="1797">
        <v>15</v>
      </c>
      <c r="F74" s="1797" t="s">
        <v>84</v>
      </c>
      <c r="G74" s="1717">
        <v>5</v>
      </c>
      <c r="H74" s="1717">
        <v>2</v>
      </c>
      <c r="I74" s="1717">
        <v>2</v>
      </c>
      <c r="J74" s="1797">
        <v>11</v>
      </c>
      <c r="K74" s="1797" t="s">
        <v>87</v>
      </c>
      <c r="L74" s="1849" t="s">
        <v>643</v>
      </c>
      <c r="M74" s="1094"/>
      <c r="N74" s="1727"/>
      <c r="O74" s="1841"/>
      <c r="P74" s="1873">
        <f>P75+P76</f>
        <v>2100000</v>
      </c>
      <c r="Q74" s="1094"/>
      <c r="R74" s="1727"/>
      <c r="S74" s="1841"/>
      <c r="T74" s="1888">
        <f>T75+T76</f>
        <v>2100000</v>
      </c>
      <c r="U74" s="756">
        <f>SUM(T74)-P74</f>
        <v>0</v>
      </c>
      <c r="V74" s="761"/>
    </row>
    <row r="75" spans="2:23" ht="13.5" customHeight="1" x14ac:dyDescent="0.25">
      <c r="B75" s="1730"/>
      <c r="C75" s="1722"/>
      <c r="D75" s="1722"/>
      <c r="E75" s="1731"/>
      <c r="F75" s="1731"/>
      <c r="G75" s="1717"/>
      <c r="H75" s="1717"/>
      <c r="I75" s="1717"/>
      <c r="J75" s="1722"/>
      <c r="K75" s="1722"/>
      <c r="L75" s="1849" t="s">
        <v>1036</v>
      </c>
      <c r="M75" s="1094">
        <f>1*70</f>
        <v>70</v>
      </c>
      <c r="N75" s="1727" t="s">
        <v>189</v>
      </c>
      <c r="O75" s="1841">
        <v>15000</v>
      </c>
      <c r="P75" s="1874">
        <f>M75*O75</f>
        <v>1050000</v>
      </c>
      <c r="Q75" s="1094">
        <f>1*70</f>
        <v>70</v>
      </c>
      <c r="R75" s="1727" t="s">
        <v>189</v>
      </c>
      <c r="S75" s="1841">
        <v>15000</v>
      </c>
      <c r="T75" s="1889">
        <f>Q75*S75</f>
        <v>1050000</v>
      </c>
      <c r="U75" s="756"/>
      <c r="V75" s="761"/>
    </row>
    <row r="76" spans="2:23" ht="13.5" customHeight="1" x14ac:dyDescent="0.25">
      <c r="B76" s="1730"/>
      <c r="C76" s="1722"/>
      <c r="D76" s="1722"/>
      <c r="E76" s="1731"/>
      <c r="F76" s="1731"/>
      <c r="G76" s="1717"/>
      <c r="H76" s="1717"/>
      <c r="I76" s="1717"/>
      <c r="J76" s="1722"/>
      <c r="K76" s="1722"/>
      <c r="L76" s="1849" t="s">
        <v>1037</v>
      </c>
      <c r="M76" s="1094">
        <f>1*2*70</f>
        <v>140</v>
      </c>
      <c r="N76" s="1727" t="s">
        <v>189</v>
      </c>
      <c r="O76" s="1841">
        <v>7500</v>
      </c>
      <c r="P76" s="1875">
        <f>O76*M76</f>
        <v>1050000</v>
      </c>
      <c r="Q76" s="1094">
        <f>1*2*70</f>
        <v>140</v>
      </c>
      <c r="R76" s="1727" t="s">
        <v>189</v>
      </c>
      <c r="S76" s="1841">
        <v>7500</v>
      </c>
      <c r="T76" s="1890">
        <f>S76*Q76</f>
        <v>1050000</v>
      </c>
      <c r="U76" s="756">
        <f>SUM(T76)-P76</f>
        <v>0</v>
      </c>
      <c r="V76" s="761"/>
    </row>
    <row r="77" spans="2:23" x14ac:dyDescent="0.25">
      <c r="B77" s="663"/>
      <c r="C77" s="814"/>
      <c r="D77" s="814"/>
      <c r="E77" s="815"/>
      <c r="F77" s="815"/>
      <c r="G77" s="816"/>
      <c r="H77" s="816"/>
      <c r="I77" s="664"/>
      <c r="J77" s="814"/>
      <c r="K77" s="814"/>
      <c r="L77" s="965"/>
      <c r="M77" s="966"/>
      <c r="N77" s="966"/>
      <c r="O77" s="967"/>
      <c r="P77" s="968"/>
      <c r="Q77" s="969"/>
      <c r="R77" s="969"/>
      <c r="S77" s="970"/>
      <c r="T77" s="971"/>
      <c r="U77" s="972"/>
      <c r="V77" s="600"/>
    </row>
    <row r="78" spans="2:23" ht="14.5" thickBot="1" x14ac:dyDescent="0.3">
      <c r="B78" s="2730" t="s">
        <v>15</v>
      </c>
      <c r="C78" s="2731"/>
      <c r="D78" s="2731"/>
      <c r="E78" s="2731"/>
      <c r="F78" s="2731"/>
      <c r="G78" s="2731"/>
      <c r="H78" s="2731"/>
      <c r="I78" s="2731"/>
      <c r="J78" s="2731"/>
      <c r="K78" s="2731"/>
      <c r="L78" s="2731"/>
      <c r="M78" s="2731"/>
      <c r="N78" s="2731"/>
      <c r="O78" s="2731"/>
      <c r="P78" s="436">
        <f>P28</f>
        <v>32283930</v>
      </c>
      <c r="Q78" s="2915"/>
      <c r="R78" s="2916"/>
      <c r="S78" s="2917"/>
      <c r="T78" s="1605">
        <f>T28</f>
        <v>32283930</v>
      </c>
      <c r="U78" s="935">
        <f>SUM(U28:U76)</f>
        <v>0</v>
      </c>
      <c r="V78" s="439">
        <f>U78/P78*100</f>
        <v>0</v>
      </c>
    </row>
    <row r="79" spans="2:23" ht="13" thickTop="1" x14ac:dyDescent="0.25">
      <c r="B79" s="2918"/>
      <c r="C79" s="2919"/>
      <c r="D79" s="2919"/>
      <c r="E79" s="2919"/>
      <c r="F79" s="2919"/>
      <c r="G79" s="2919"/>
      <c r="H79" s="2919"/>
      <c r="I79" s="2919"/>
      <c r="J79" s="2919"/>
      <c r="K79" s="2919"/>
      <c r="L79" s="2919"/>
      <c r="M79" s="2919"/>
      <c r="N79" s="2919"/>
      <c r="O79" s="2919"/>
      <c r="P79" s="2919"/>
      <c r="Q79" s="2919"/>
      <c r="R79" s="2919"/>
      <c r="S79" s="2919"/>
      <c r="T79" s="2919"/>
      <c r="U79" s="2919"/>
      <c r="V79" s="2920"/>
    </row>
    <row r="80" spans="2:23" ht="12.75" customHeight="1" x14ac:dyDescent="0.25">
      <c r="B80" s="466"/>
      <c r="C80" s="1583"/>
      <c r="D80" s="1583"/>
      <c r="E80" s="1583"/>
      <c r="F80" s="1583"/>
      <c r="G80" s="1583"/>
      <c r="H80" s="1583"/>
      <c r="I80" s="1583"/>
      <c r="J80" s="1583"/>
      <c r="K80" s="1583"/>
      <c r="L80" s="396"/>
      <c r="M80" s="344"/>
      <c r="N80" s="344"/>
      <c r="O80" s="344"/>
      <c r="P80" s="344"/>
      <c r="Q80" s="1583"/>
      <c r="R80" s="344"/>
      <c r="S80" s="2921" t="str">
        <f>'Pemel PRLTN GDG KTR '!S48:U48</f>
        <v>Banda Aceh,               2020</v>
      </c>
      <c r="T80" s="2921"/>
      <c r="U80" s="2921"/>
      <c r="V80" s="936"/>
      <c r="W80" s="100"/>
    </row>
    <row r="81" spans="2:23" x14ac:dyDescent="0.25">
      <c r="B81" s="466"/>
      <c r="C81" s="1583"/>
      <c r="D81" s="1583"/>
      <c r="E81" s="1583"/>
      <c r="F81" s="1583"/>
      <c r="G81" s="1583"/>
      <c r="H81" s="1583"/>
      <c r="I81" s="1583"/>
      <c r="J81" s="1583"/>
      <c r="K81" s="1583"/>
      <c r="L81" s="1606" t="str">
        <f>'Pemel PRLTN GDG KTR '!L49</f>
        <v>Mengesahkan,</v>
      </c>
      <c r="M81" s="344"/>
      <c r="N81" s="344"/>
      <c r="O81" s="344"/>
      <c r="P81" s="344"/>
      <c r="Q81" s="1583"/>
      <c r="R81" s="344"/>
      <c r="S81" s="2922" t="str">
        <f>'Pemel PRLTN GDG KTR '!S49:U49</f>
        <v>Pengguna Anggaran</v>
      </c>
      <c r="T81" s="2922"/>
      <c r="U81" s="2922"/>
      <c r="V81" s="397"/>
      <c r="W81" s="22"/>
    </row>
    <row r="82" spans="2:23" ht="12.75" customHeight="1" x14ac:dyDescent="0.25">
      <c r="B82" s="466"/>
      <c r="C82" s="1583"/>
      <c r="D82" s="1583"/>
      <c r="E82" s="1583"/>
      <c r="F82" s="1583"/>
      <c r="G82" s="1583"/>
      <c r="H82" s="1583"/>
      <c r="I82" s="1583"/>
      <c r="J82" s="1583"/>
      <c r="K82" s="1583"/>
      <c r="L82" s="1606" t="str">
        <f>'Pemel PRLTN GDG KTR '!L50</f>
        <v>Pejabat Pengelola Keuangan Daerah</v>
      </c>
      <c r="M82" s="344"/>
      <c r="N82" s="344"/>
      <c r="O82" s="344"/>
      <c r="P82" s="344"/>
      <c r="Q82" s="1583"/>
      <c r="R82" s="344"/>
      <c r="S82" s="2922" t="str">
        <f>'Pemel PRLTN GDG KTR '!S50:U50</f>
        <v xml:space="preserve"> Satuan Kerja Perangkat Daerah </v>
      </c>
      <c r="T82" s="2922"/>
      <c r="U82" s="2922"/>
      <c r="V82" s="397"/>
      <c r="W82" s="22"/>
    </row>
    <row r="83" spans="2:23" x14ac:dyDescent="0.25">
      <c r="B83" s="466"/>
      <c r="C83" s="1583"/>
      <c r="D83" s="1583"/>
      <c r="E83" s="1583"/>
      <c r="F83" s="1583"/>
      <c r="G83" s="1583"/>
      <c r="H83" s="1583"/>
      <c r="I83" s="1583"/>
      <c r="J83" s="1583"/>
      <c r="K83" s="1583"/>
      <c r="L83" s="394"/>
      <c r="M83" s="344"/>
      <c r="N83" s="344"/>
      <c r="O83" s="344"/>
      <c r="P83" s="344"/>
      <c r="Q83" s="1583"/>
      <c r="R83" s="344"/>
      <c r="S83" s="937"/>
      <c r="T83" s="938"/>
      <c r="U83" s="938"/>
      <c r="V83" s="939"/>
      <c r="W83" s="102"/>
    </row>
    <row r="84" spans="2:23" x14ac:dyDescent="0.25">
      <c r="B84" s="466"/>
      <c r="C84" s="1583"/>
      <c r="D84" s="1583"/>
      <c r="E84" s="1583"/>
      <c r="F84" s="1583"/>
      <c r="G84" s="1583"/>
      <c r="H84" s="1583"/>
      <c r="I84" s="1583"/>
      <c r="J84" s="1583"/>
      <c r="K84" s="1583"/>
      <c r="L84" s="394"/>
      <c r="M84" s="344"/>
      <c r="N84" s="344"/>
      <c r="O84" s="344"/>
      <c r="P84" s="344"/>
      <c r="Q84" s="1583"/>
      <c r="R84" s="344"/>
      <c r="S84" s="937"/>
      <c r="T84" s="937"/>
      <c r="U84" s="937"/>
      <c r="V84" s="940"/>
      <c r="W84" s="103"/>
    </row>
    <row r="85" spans="2:23" x14ac:dyDescent="0.25">
      <c r="B85" s="466"/>
      <c r="C85" s="1583"/>
      <c r="D85" s="1583"/>
      <c r="E85" s="1583"/>
      <c r="F85" s="1583"/>
      <c r="G85" s="1583"/>
      <c r="H85" s="1583"/>
      <c r="I85" s="1583"/>
      <c r="J85" s="1583"/>
      <c r="K85" s="1583"/>
      <c r="L85" s="941"/>
      <c r="M85" s="344"/>
      <c r="N85" s="344"/>
      <c r="O85" s="344"/>
      <c r="P85" s="344"/>
      <c r="Q85" s="1583"/>
      <c r="R85" s="344"/>
      <c r="S85" s="937"/>
      <c r="T85" s="938"/>
      <c r="U85" s="938"/>
      <c r="V85" s="939"/>
      <c r="W85" s="102"/>
    </row>
    <row r="86" spans="2:23" ht="14" x14ac:dyDescent="0.25">
      <c r="B86" s="466"/>
      <c r="C86" s="1583"/>
      <c r="D86" s="1583"/>
      <c r="E86" s="1583"/>
      <c r="F86" s="1583"/>
      <c r="G86" s="1583"/>
      <c r="H86" s="1583"/>
      <c r="I86" s="1583"/>
      <c r="J86" s="1583"/>
      <c r="K86" s="1583"/>
      <c r="L86" s="942" t="str">
        <f>'Pemel PRLTN GDG KTR '!L54</f>
        <v>M. Iqbal Rokan, S.STP.</v>
      </c>
      <c r="M86" s="344"/>
      <c r="N86" s="344"/>
      <c r="O86" s="344"/>
      <c r="P86" s="344"/>
      <c r="Q86" s="1583"/>
      <c r="R86" s="344"/>
      <c r="S86" s="2923" t="str">
        <f>'Pemel PRLTN GDG KTR '!S54:U54</f>
        <v>Bustami, SH</v>
      </c>
      <c r="T86" s="2923"/>
      <c r="U86" s="2923"/>
      <c r="V86" s="400"/>
      <c r="W86" s="104"/>
    </row>
    <row r="87" spans="2:23" x14ac:dyDescent="0.25">
      <c r="B87" s="466"/>
      <c r="C87" s="1583"/>
      <c r="D87" s="1583"/>
      <c r="E87" s="1583"/>
      <c r="F87" s="1583"/>
      <c r="G87" s="1583"/>
      <c r="H87" s="1583"/>
      <c r="I87" s="1583"/>
      <c r="J87" s="1583"/>
      <c r="K87" s="1583"/>
      <c r="L87" s="1606" t="str">
        <f>'Pemel PRLTN GDG KTR '!L55</f>
        <v>Nip. 19780505 199810 1 001</v>
      </c>
      <c r="M87" s="344"/>
      <c r="N87" s="344"/>
      <c r="O87" s="344"/>
      <c r="P87" s="344"/>
      <c r="Q87" s="1583"/>
      <c r="R87" s="344"/>
      <c r="S87" s="2922" t="str">
        <f>'Pemel PRLTN GDG KTR '!S55:U55</f>
        <v>Pembina Utama Muda / Nip. 196308241987031004</v>
      </c>
      <c r="T87" s="2922"/>
      <c r="U87" s="2922"/>
      <c r="V87" s="397"/>
      <c r="W87" s="22"/>
    </row>
    <row r="88" spans="2:23" x14ac:dyDescent="0.25">
      <c r="B88" s="466"/>
      <c r="C88" s="1583"/>
      <c r="D88" s="1583"/>
      <c r="E88" s="1583"/>
      <c r="F88" s="1583"/>
      <c r="G88" s="1583"/>
      <c r="H88" s="1583"/>
      <c r="I88" s="1583"/>
      <c r="J88" s="1583"/>
      <c r="K88" s="1583"/>
      <c r="L88" s="1606"/>
      <c r="M88" s="344"/>
      <c r="N88" s="344"/>
      <c r="O88" s="344"/>
      <c r="P88" s="344"/>
      <c r="Q88" s="1583"/>
      <c r="R88" s="344"/>
      <c r="S88" s="1606"/>
      <c r="T88" s="1606"/>
      <c r="U88" s="1606"/>
      <c r="V88" s="943"/>
      <c r="W88" s="21"/>
    </row>
    <row r="89" spans="2:23" ht="14.25" customHeight="1" x14ac:dyDescent="0.25">
      <c r="B89" s="2705" t="s">
        <v>286</v>
      </c>
      <c r="C89" s="2706"/>
      <c r="D89" s="2706"/>
      <c r="E89" s="2706"/>
      <c r="F89" s="2706"/>
      <c r="G89" s="2706"/>
      <c r="H89" s="2706"/>
      <c r="I89" s="2706"/>
      <c r="J89" s="2706"/>
      <c r="K89" s="2706"/>
      <c r="L89" s="2706"/>
      <c r="M89" s="2707" t="s">
        <v>145</v>
      </c>
      <c r="N89" s="2708"/>
      <c r="O89" s="2708"/>
      <c r="P89" s="2708"/>
      <c r="Q89" s="2708"/>
      <c r="R89" s="2708"/>
      <c r="S89" s="2708"/>
      <c r="T89" s="2708"/>
      <c r="U89" s="2708"/>
      <c r="V89" s="2709"/>
    </row>
    <row r="90" spans="2:23" ht="14.25" customHeight="1" x14ac:dyDescent="0.25">
      <c r="B90" s="2893"/>
      <c r="C90" s="2894"/>
      <c r="D90" s="2894"/>
      <c r="E90" s="2894"/>
      <c r="F90" s="2894"/>
      <c r="G90" s="2894"/>
      <c r="H90" s="2894"/>
      <c r="I90" s="2894"/>
      <c r="J90" s="2894"/>
      <c r="K90" s="2894"/>
      <c r="L90" s="2895"/>
      <c r="M90" s="1599" t="s">
        <v>142</v>
      </c>
      <c r="N90" s="2747"/>
      <c r="O90" s="2747"/>
      <c r="P90" s="2747"/>
      <c r="Q90" s="2746" t="s">
        <v>143</v>
      </c>
      <c r="R90" s="2746"/>
      <c r="S90" s="2746"/>
      <c r="T90" s="1597" t="s">
        <v>144</v>
      </c>
      <c r="U90" s="2746" t="s">
        <v>146</v>
      </c>
      <c r="V90" s="2748"/>
    </row>
    <row r="91" spans="2:23" ht="14.25" customHeight="1" x14ac:dyDescent="0.25">
      <c r="B91" s="2907" t="s">
        <v>293</v>
      </c>
      <c r="C91" s="2908"/>
      <c r="D91" s="2908"/>
      <c r="E91" s="2908"/>
      <c r="F91" s="2908"/>
      <c r="G91" s="2908"/>
      <c r="H91" s="2908"/>
      <c r="I91" s="2908"/>
      <c r="J91" s="2908"/>
      <c r="K91" s="2908"/>
      <c r="L91" s="944">
        <v>0</v>
      </c>
      <c r="M91" s="945">
        <v>1</v>
      </c>
      <c r="N91" s="2896" t="str">
        <f>'Pemel PRLTN GDG KTR '!N59:P59</f>
        <v>Weri, SE. MA</v>
      </c>
      <c r="O91" s="2897"/>
      <c r="P91" s="2897"/>
      <c r="Q91" s="2898" t="str">
        <f>'Pemel PRLTN GDG KTR '!Q59:S59</f>
        <v>19640525 198903 1 026</v>
      </c>
      <c r="R91" s="2563"/>
      <c r="S91" s="2564"/>
      <c r="T91" s="946" t="s">
        <v>302</v>
      </c>
      <c r="U91" s="947" t="s">
        <v>287</v>
      </c>
      <c r="V91" s="451"/>
    </row>
    <row r="92" spans="2:23" ht="14" x14ac:dyDescent="0.25">
      <c r="B92" s="2907" t="s">
        <v>294</v>
      </c>
      <c r="C92" s="2908"/>
      <c r="D92" s="2908"/>
      <c r="E92" s="2908"/>
      <c r="F92" s="2908"/>
      <c r="G92" s="2908"/>
      <c r="H92" s="2908"/>
      <c r="I92" s="2908"/>
      <c r="J92" s="2908"/>
      <c r="K92" s="2908"/>
      <c r="L92" s="944">
        <v>0</v>
      </c>
      <c r="M92" s="945">
        <v>2</v>
      </c>
      <c r="N92" s="2909" t="str">
        <f>'Pemel PRLTN GDG KTR '!N60:P60</f>
        <v>Azmi, SH</v>
      </c>
      <c r="O92" s="2706"/>
      <c r="P92" s="2706"/>
      <c r="Q92" s="2898" t="str">
        <f>'Pemel PRLTN GDG KTR '!Q60:S60</f>
        <v>19680824 199903 1 004</v>
      </c>
      <c r="R92" s="2563"/>
      <c r="S92" s="2564"/>
      <c r="T92" s="946" t="s">
        <v>303</v>
      </c>
      <c r="U92" s="450"/>
      <c r="V92" s="948" t="s">
        <v>128</v>
      </c>
    </row>
    <row r="93" spans="2:23" ht="14" x14ac:dyDescent="0.25">
      <c r="B93" s="2907" t="s">
        <v>295</v>
      </c>
      <c r="C93" s="2908"/>
      <c r="D93" s="2908"/>
      <c r="E93" s="2908"/>
      <c r="F93" s="2908"/>
      <c r="G93" s="2908"/>
      <c r="H93" s="2908"/>
      <c r="I93" s="2908"/>
      <c r="J93" s="2908"/>
      <c r="K93" s="2908"/>
      <c r="L93" s="944">
        <v>0</v>
      </c>
      <c r="M93" s="949">
        <v>3</v>
      </c>
      <c r="N93" s="2909" t="str">
        <f>'Pemel PRLTN GDG KTR '!N61:P61</f>
        <v>Muhammad Syaifuddin Ambia, ST, MT</v>
      </c>
      <c r="O93" s="2706"/>
      <c r="P93" s="2706"/>
      <c r="Q93" s="2898" t="str">
        <f>'Pemel PRLTN GDG KTR '!Q61:S61</f>
        <v>19741010 200604 1 003</v>
      </c>
      <c r="R93" s="2563"/>
      <c r="S93" s="2564"/>
      <c r="T93" s="946" t="s">
        <v>304</v>
      </c>
      <c r="U93" s="950" t="s">
        <v>292</v>
      </c>
      <c r="V93" s="451"/>
    </row>
    <row r="94" spans="2:23" ht="15" customHeight="1" x14ac:dyDescent="0.25">
      <c r="B94" s="2907" t="s">
        <v>296</v>
      </c>
      <c r="C94" s="2908"/>
      <c r="D94" s="2908"/>
      <c r="E94" s="2908"/>
      <c r="F94" s="2908"/>
      <c r="G94" s="2908"/>
      <c r="H94" s="2908"/>
      <c r="I94" s="2908"/>
      <c r="J94" s="2908"/>
      <c r="K94" s="2908"/>
      <c r="L94" s="944">
        <v>0</v>
      </c>
      <c r="M94" s="945">
        <v>4</v>
      </c>
      <c r="N94" s="2909" t="str">
        <f>'Pemel PRLTN GDG KTR '!N62:P62</f>
        <v>Basri, SE, M.Si</v>
      </c>
      <c r="O94" s="2706"/>
      <c r="P94" s="2706"/>
      <c r="Q94" s="2898" t="str">
        <f>'Pemel PRLTN GDG KTR '!Q62:S62</f>
        <v>19691213 199403 1 002</v>
      </c>
      <c r="R94" s="2563"/>
      <c r="S94" s="2564"/>
      <c r="T94" s="946" t="s">
        <v>305</v>
      </c>
      <c r="U94" s="450"/>
      <c r="V94" s="948" t="s">
        <v>288</v>
      </c>
    </row>
    <row r="95" spans="2:23" ht="14" x14ac:dyDescent="0.25">
      <c r="B95" s="2907" t="s">
        <v>297</v>
      </c>
      <c r="C95" s="2908"/>
      <c r="D95" s="2908"/>
      <c r="E95" s="2908"/>
      <c r="F95" s="2908"/>
      <c r="G95" s="2908"/>
      <c r="H95" s="2908"/>
      <c r="I95" s="2908"/>
      <c r="J95" s="2908"/>
      <c r="K95" s="2908"/>
      <c r="L95" s="951">
        <f>SUM(L91:L94)</f>
        <v>0</v>
      </c>
      <c r="M95" s="952">
        <v>5</v>
      </c>
      <c r="N95" s="2909" t="str">
        <f>'Pemel PRLTN GDG KTR '!N63:P63</f>
        <v>Dewi Shinta Reza, SE. Ak</v>
      </c>
      <c r="O95" s="2706"/>
      <c r="P95" s="2706"/>
      <c r="Q95" s="2898" t="str">
        <f>'Pemel PRLTN GDG KTR '!Q63:S63</f>
        <v>19750630 200212 2 003</v>
      </c>
      <c r="R95" s="2563"/>
      <c r="S95" s="2564"/>
      <c r="T95" s="946" t="s">
        <v>306</v>
      </c>
      <c r="U95" s="950" t="s">
        <v>289</v>
      </c>
      <c r="V95" s="451"/>
    </row>
    <row r="96" spans="2:23" ht="13.5" customHeight="1" x14ac:dyDescent="0.25">
      <c r="B96" s="2893"/>
      <c r="C96" s="2894"/>
      <c r="D96" s="2894"/>
      <c r="E96" s="2894"/>
      <c r="F96" s="2894"/>
      <c r="G96" s="2894"/>
      <c r="H96" s="2894"/>
      <c r="I96" s="2894"/>
      <c r="J96" s="2894"/>
      <c r="K96" s="2894"/>
      <c r="L96" s="2895"/>
      <c r="M96" s="952">
        <v>6</v>
      </c>
      <c r="N96" s="2896" t="str">
        <f>'Pemel PRLTN GDG KTR '!N64:P64</f>
        <v>Harisman, S.STP, M.Ec.Dev</v>
      </c>
      <c r="O96" s="2897"/>
      <c r="P96" s="2897"/>
      <c r="Q96" s="2898" t="str">
        <f>'Pemel PRLTN GDG KTR '!Q64:S64</f>
        <v>19830101 200112 1 003</v>
      </c>
      <c r="R96" s="2563"/>
      <c r="S96" s="2564"/>
      <c r="T96" s="946" t="s">
        <v>307</v>
      </c>
      <c r="U96" s="450"/>
      <c r="V96" s="948" t="s">
        <v>290</v>
      </c>
    </row>
    <row r="97" spans="2:22" ht="14.5" thickBot="1" x14ac:dyDescent="0.3">
      <c r="B97" s="2899"/>
      <c r="C97" s="2900"/>
      <c r="D97" s="2900"/>
      <c r="E97" s="2900"/>
      <c r="F97" s="2900"/>
      <c r="G97" s="2900"/>
      <c r="H97" s="2900"/>
      <c r="I97" s="2900"/>
      <c r="J97" s="2900"/>
      <c r="K97" s="2900"/>
      <c r="L97" s="2901"/>
      <c r="M97" s="953">
        <v>7</v>
      </c>
      <c r="N97" s="2902" t="str">
        <f>'Pemel PRLTN GDG KTR '!N65:P65</f>
        <v>Alriandi, S.STP, M.Si</v>
      </c>
      <c r="O97" s="2903"/>
      <c r="P97" s="2903"/>
      <c r="Q97" s="2904" t="str">
        <f>'Pemel PRLTN GDG KTR '!Q65:S65</f>
        <v>19830308 200112 1 001</v>
      </c>
      <c r="R97" s="2905"/>
      <c r="S97" s="2906"/>
      <c r="T97" s="954" t="s">
        <v>308</v>
      </c>
      <c r="U97" s="955" t="s">
        <v>291</v>
      </c>
      <c r="V97" s="956"/>
    </row>
    <row r="98" spans="2:22" ht="13" thickTop="1" x14ac:dyDescent="0.25">
      <c r="B98" s="1596"/>
      <c r="C98" s="1596"/>
      <c r="D98" s="1596"/>
      <c r="E98" s="1596"/>
      <c r="F98" s="1596"/>
      <c r="G98" s="1596"/>
      <c r="H98" s="1596"/>
      <c r="I98" s="1596"/>
      <c r="J98" s="1596"/>
      <c r="K98" s="1596"/>
      <c r="L98" s="1596"/>
      <c r="M98" s="1596"/>
      <c r="N98" s="1596"/>
      <c r="O98" s="1596"/>
      <c r="P98" s="1596"/>
    </row>
    <row r="99" spans="2:22" x14ac:dyDescent="0.25">
      <c r="B99" s="1596"/>
      <c r="C99" s="1596"/>
      <c r="D99" s="1596"/>
      <c r="E99" s="1596"/>
      <c r="F99" s="1596"/>
      <c r="G99" s="1596"/>
      <c r="H99" s="1596"/>
      <c r="I99" s="1596"/>
      <c r="J99" s="1596"/>
      <c r="K99" s="1596"/>
      <c r="L99" s="1596"/>
      <c r="M99" s="1596"/>
      <c r="N99" s="1596"/>
      <c r="O99" s="1596"/>
      <c r="P99" s="1596"/>
    </row>
    <row r="100" spans="2:22" x14ac:dyDescent="0.25">
      <c r="B100" s="1596"/>
      <c r="C100" s="1596"/>
      <c r="D100" s="1596"/>
      <c r="E100" s="1596"/>
      <c r="F100" s="1596"/>
      <c r="G100" s="1596"/>
      <c r="H100" s="1596"/>
      <c r="I100" s="1596"/>
      <c r="J100" s="1596"/>
      <c r="K100" s="1596"/>
      <c r="L100" s="1596"/>
      <c r="M100" s="1596"/>
      <c r="N100" s="1596"/>
      <c r="O100" s="1596"/>
      <c r="P100" s="1596"/>
    </row>
    <row r="101" spans="2:22" x14ac:dyDescent="0.25">
      <c r="B101" s="1596"/>
      <c r="C101" s="1596"/>
      <c r="D101" s="1596"/>
      <c r="E101" s="1596"/>
      <c r="F101" s="1596"/>
      <c r="G101" s="1596"/>
      <c r="H101" s="1596"/>
      <c r="I101" s="1596"/>
      <c r="J101" s="1596"/>
      <c r="K101" s="1596"/>
      <c r="L101" s="1596"/>
      <c r="M101" s="1596"/>
      <c r="N101" s="1596"/>
      <c r="O101" s="1596"/>
      <c r="P101" s="1596"/>
    </row>
    <row r="102" spans="2:22" x14ac:dyDescent="0.25">
      <c r="B102" s="1596"/>
      <c r="C102" s="1596"/>
      <c r="D102" s="1596"/>
      <c r="E102" s="1596"/>
      <c r="F102" s="1596"/>
      <c r="G102" s="1596"/>
      <c r="H102" s="1596"/>
      <c r="I102" s="1596"/>
      <c r="J102" s="1596"/>
      <c r="K102" s="1596"/>
      <c r="L102" s="1596"/>
      <c r="M102" s="1596"/>
      <c r="N102" s="1596"/>
      <c r="O102" s="1596"/>
      <c r="P102" s="1596"/>
    </row>
    <row r="103" spans="2:22" x14ac:dyDescent="0.25">
      <c r="B103" s="1596"/>
      <c r="C103" s="1596"/>
      <c r="D103" s="1596"/>
      <c r="E103" s="1596"/>
      <c r="F103" s="1596"/>
      <c r="G103" s="1596"/>
      <c r="H103" s="1596"/>
      <c r="I103" s="1596"/>
      <c r="J103" s="1596"/>
      <c r="K103" s="1596"/>
      <c r="L103" s="1596"/>
      <c r="M103" s="1596"/>
      <c r="N103" s="1596"/>
      <c r="O103" s="1596"/>
      <c r="P103" s="1596"/>
    </row>
    <row r="104" spans="2:22" x14ac:dyDescent="0.25">
      <c r="B104" s="1596"/>
      <c r="C104" s="1596"/>
      <c r="D104" s="1596"/>
      <c r="E104" s="1596"/>
      <c r="F104" s="1596"/>
      <c r="G104" s="1596"/>
      <c r="H104" s="1596"/>
      <c r="I104" s="1596"/>
      <c r="J104" s="1596"/>
      <c r="K104" s="1596"/>
      <c r="L104" s="1596"/>
      <c r="M104" s="1596"/>
      <c r="N104" s="1596"/>
      <c r="O104" s="1596"/>
      <c r="P104" s="1596"/>
    </row>
    <row r="105" spans="2:22" x14ac:dyDescent="0.25">
      <c r="B105" s="1596"/>
      <c r="C105" s="1596"/>
      <c r="D105" s="1596"/>
      <c r="E105" s="1596"/>
      <c r="F105" s="1596"/>
      <c r="G105" s="1596"/>
      <c r="H105" s="1596"/>
      <c r="I105" s="1596"/>
      <c r="J105" s="1596"/>
      <c r="K105" s="1596"/>
      <c r="L105" s="1596"/>
      <c r="M105" s="1596"/>
      <c r="N105" s="1596"/>
      <c r="O105" s="1596"/>
      <c r="P105" s="1596"/>
    </row>
    <row r="106" spans="2:22" x14ac:dyDescent="0.25">
      <c r="B106" s="1596"/>
      <c r="C106" s="1596"/>
      <c r="D106" s="1596"/>
      <c r="E106" s="1596"/>
      <c r="F106" s="1596"/>
      <c r="G106" s="1596"/>
      <c r="H106" s="1596"/>
      <c r="I106" s="1596"/>
      <c r="J106" s="1596"/>
      <c r="K106" s="1596"/>
      <c r="L106" s="1596"/>
      <c r="M106" s="1596"/>
      <c r="N106" s="1596"/>
      <c r="O106" s="1596"/>
      <c r="P106" s="1596"/>
    </row>
    <row r="107" spans="2:22" x14ac:dyDescent="0.25">
      <c r="B107" s="1596"/>
      <c r="C107" s="1596"/>
      <c r="D107" s="1596"/>
      <c r="E107" s="1596"/>
      <c r="F107" s="1596"/>
      <c r="G107" s="1596"/>
      <c r="H107" s="1596"/>
      <c r="I107" s="1596"/>
      <c r="J107" s="1596"/>
      <c r="K107" s="1596"/>
      <c r="L107" s="1596"/>
      <c r="M107" s="1596"/>
      <c r="N107" s="1596"/>
      <c r="O107" s="1596"/>
      <c r="P107" s="1596"/>
    </row>
    <row r="108" spans="2:22" x14ac:dyDescent="0.25">
      <c r="B108" s="1596"/>
      <c r="C108" s="1596"/>
      <c r="D108" s="1596"/>
      <c r="E108" s="1596"/>
      <c r="F108" s="1596"/>
      <c r="G108" s="1596"/>
      <c r="H108" s="1596"/>
      <c r="I108" s="1596"/>
      <c r="J108" s="1596"/>
      <c r="K108" s="1596"/>
      <c r="L108" s="1596"/>
      <c r="M108" s="1596"/>
      <c r="N108" s="1596"/>
      <c r="O108" s="1596"/>
      <c r="P108" s="1596"/>
    </row>
    <row r="109" spans="2:22" x14ac:dyDescent="0.25">
      <c r="B109" s="1596"/>
      <c r="C109" s="1596"/>
      <c r="D109" s="1596"/>
      <c r="E109" s="1596"/>
      <c r="F109" s="1596"/>
      <c r="G109" s="1596"/>
      <c r="H109" s="1596"/>
      <c r="I109" s="1596"/>
      <c r="J109" s="1596"/>
      <c r="K109" s="1596"/>
      <c r="L109" s="1596"/>
      <c r="M109" s="1596"/>
      <c r="N109" s="1596"/>
      <c r="O109" s="1596"/>
      <c r="P109" s="1596"/>
    </row>
    <row r="110" spans="2:22" x14ac:dyDescent="0.25">
      <c r="B110" s="1596"/>
      <c r="C110" s="1596"/>
      <c r="D110" s="1596"/>
      <c r="E110" s="1596"/>
      <c r="F110" s="1596"/>
      <c r="G110" s="1596"/>
      <c r="H110" s="1596"/>
      <c r="I110" s="1596"/>
      <c r="J110" s="1596"/>
      <c r="K110" s="1596"/>
      <c r="L110" s="1596"/>
      <c r="M110" s="1596"/>
      <c r="N110" s="1596"/>
      <c r="O110" s="1596"/>
      <c r="P110" s="1596"/>
    </row>
    <row r="111" spans="2:22" x14ac:dyDescent="0.25">
      <c r="B111" s="1596"/>
      <c r="C111" s="1596"/>
      <c r="D111" s="1596"/>
      <c r="E111" s="1596"/>
      <c r="F111" s="1596"/>
      <c r="G111" s="1596"/>
      <c r="H111" s="1596"/>
      <c r="I111" s="1596"/>
      <c r="J111" s="1596"/>
      <c r="K111" s="1596"/>
      <c r="L111" s="1596"/>
      <c r="M111" s="1596"/>
      <c r="N111" s="1596"/>
      <c r="O111" s="1596"/>
      <c r="P111" s="1596"/>
    </row>
    <row r="112" spans="2:22" x14ac:dyDescent="0.25">
      <c r="B112" s="1596"/>
      <c r="C112" s="1596"/>
      <c r="D112" s="1596"/>
      <c r="E112" s="1596"/>
      <c r="F112" s="1596"/>
      <c r="G112" s="1596"/>
      <c r="H112" s="1596"/>
      <c r="I112" s="1596"/>
      <c r="J112" s="1596"/>
      <c r="K112" s="1596"/>
      <c r="L112" s="1596"/>
      <c r="M112" s="1596"/>
      <c r="N112" s="1596"/>
      <c r="O112" s="1596"/>
      <c r="P112" s="1596"/>
    </row>
    <row r="113" spans="2:16" x14ac:dyDescent="0.25">
      <c r="B113" s="1596"/>
      <c r="C113" s="1596"/>
      <c r="D113" s="1596"/>
      <c r="E113" s="1596"/>
      <c r="F113" s="1596"/>
      <c r="G113" s="1596"/>
      <c r="H113" s="1596"/>
      <c r="I113" s="1596"/>
      <c r="J113" s="1596"/>
      <c r="K113" s="1596"/>
      <c r="L113" s="1596"/>
      <c r="M113" s="1596"/>
      <c r="N113" s="1596"/>
      <c r="O113" s="1596"/>
      <c r="P113" s="1596"/>
    </row>
    <row r="114" spans="2:16" x14ac:dyDescent="0.25">
      <c r="B114" s="1596"/>
      <c r="C114" s="1596"/>
      <c r="D114" s="1596"/>
      <c r="E114" s="1596"/>
      <c r="F114" s="1596"/>
      <c r="G114" s="1596"/>
      <c r="H114" s="1596"/>
      <c r="I114" s="1596"/>
      <c r="J114" s="1596"/>
      <c r="K114" s="1596"/>
      <c r="L114" s="1596"/>
      <c r="M114" s="1596"/>
      <c r="N114" s="1596"/>
      <c r="O114" s="1596"/>
      <c r="P114" s="1596"/>
    </row>
  </sheetData>
  <mergeCells count="98">
    <mergeCell ref="B97:L97"/>
    <mergeCell ref="N97:P97"/>
    <mergeCell ref="Q97:S97"/>
    <mergeCell ref="B95:K95"/>
    <mergeCell ref="N95:P95"/>
    <mergeCell ref="Q95:S95"/>
    <mergeCell ref="B96:L96"/>
    <mergeCell ref="N96:P96"/>
    <mergeCell ref="Q96:S96"/>
    <mergeCell ref="B93:K93"/>
    <mergeCell ref="N93:P93"/>
    <mergeCell ref="Q93:S93"/>
    <mergeCell ref="B94:K94"/>
    <mergeCell ref="N94:P94"/>
    <mergeCell ref="Q94:S94"/>
    <mergeCell ref="B91:K91"/>
    <mergeCell ref="N91:P91"/>
    <mergeCell ref="Q91:S91"/>
    <mergeCell ref="B92:K92"/>
    <mergeCell ref="N92:P92"/>
    <mergeCell ref="Q92:S92"/>
    <mergeCell ref="B90:L90"/>
    <mergeCell ref="N90:P90"/>
    <mergeCell ref="Q90:S90"/>
    <mergeCell ref="U90:V90"/>
    <mergeCell ref="B27:K27"/>
    <mergeCell ref="B78:O78"/>
    <mergeCell ref="Q78:S78"/>
    <mergeCell ref="B79:V79"/>
    <mergeCell ref="S80:U80"/>
    <mergeCell ref="S81:U81"/>
    <mergeCell ref="S82:U82"/>
    <mergeCell ref="S86:U86"/>
    <mergeCell ref="S87:U87"/>
    <mergeCell ref="B89:L89"/>
    <mergeCell ref="M89:V89"/>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1:K11"/>
    <mergeCell ref="M11:V11"/>
    <mergeCell ref="B12:L12"/>
    <mergeCell ref="M12:V12"/>
    <mergeCell ref="B13:V13"/>
    <mergeCell ref="B14:K15"/>
    <mergeCell ref="L14:P14"/>
    <mergeCell ref="Q14:V14"/>
    <mergeCell ref="M15:P15"/>
    <mergeCell ref="Q15:S15"/>
    <mergeCell ref="T15:V15"/>
    <mergeCell ref="B16:K16"/>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pageMargins left="0.511811023622047" right="1.0255905510000001" top="0.511811023622047" bottom="0.47244094488188998" header="0.31496062992126" footer="0.31496062992126"/>
  <pageSetup paperSize="5" scale="60" orientation="landscape" horizontalDpi="4294967293" verticalDpi="4294967293" r:id="rId1"/>
  <rowBreaks count="1" manualBreakCount="1">
    <brk id="49"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B6:N45"/>
  <sheetViews>
    <sheetView view="pageBreakPreview" topLeftCell="A30" zoomScale="110" zoomScaleSheetLayoutView="110" workbookViewId="0">
      <selection activeCell="C39" sqref="C39:I40"/>
    </sheetView>
  </sheetViews>
  <sheetFormatPr defaultColWidth="9.1796875" defaultRowHeight="12.5" x14ac:dyDescent="0.25"/>
  <cols>
    <col min="1" max="1" width="9.1796875" style="344"/>
    <col min="2" max="2" width="15.453125" style="344" customWidth="1"/>
    <col min="3" max="3" width="9.1796875" style="345"/>
    <col min="4" max="5" width="9.1796875" style="344"/>
    <col min="6" max="6" width="10.1796875" style="344" customWidth="1"/>
    <col min="7" max="7" width="12" style="344" customWidth="1"/>
    <col min="8" max="8" width="12.81640625" style="344" customWidth="1"/>
    <col min="9" max="9" width="16.81640625" style="344" customWidth="1"/>
    <col min="10" max="16384" width="9.1796875" style="344"/>
  </cols>
  <sheetData>
    <row r="6" spans="2:13" x14ac:dyDescent="0.25">
      <c r="M6" s="346"/>
    </row>
    <row r="7" spans="2:13" x14ac:dyDescent="0.25">
      <c r="M7" s="346"/>
    </row>
    <row r="9" spans="2:13" x14ac:dyDescent="0.25">
      <c r="B9" s="2524" t="s">
        <v>20</v>
      </c>
      <c r="C9" s="2524"/>
      <c r="D9" s="2524"/>
      <c r="E9" s="2524"/>
      <c r="F9" s="2524"/>
      <c r="G9" s="2524"/>
      <c r="H9" s="2524"/>
      <c r="I9" s="2524"/>
    </row>
    <row r="10" spans="2:13" x14ac:dyDescent="0.25">
      <c r="B10" s="347"/>
      <c r="C10" s="347"/>
      <c r="D10" s="347"/>
      <c r="E10" s="347"/>
      <c r="F10" s="347"/>
      <c r="G10" s="347"/>
      <c r="H10" s="347"/>
      <c r="I10" s="347"/>
    </row>
    <row r="12" spans="2:13" s="348" customFormat="1" ht="20" x14ac:dyDescent="0.25">
      <c r="B12" s="2525" t="s">
        <v>278</v>
      </c>
      <c r="C12" s="2525"/>
      <c r="D12" s="2525"/>
      <c r="E12" s="2525"/>
      <c r="F12" s="2525"/>
      <c r="G12" s="2525"/>
      <c r="H12" s="2525"/>
      <c r="I12" s="2525"/>
    </row>
    <row r="13" spans="2:13" s="348" customFormat="1" ht="20" x14ac:dyDescent="0.25">
      <c r="B13" s="2525" t="s">
        <v>114</v>
      </c>
      <c r="C13" s="2525"/>
      <c r="D13" s="2525"/>
      <c r="E13" s="2525"/>
      <c r="F13" s="2525"/>
      <c r="G13" s="2525"/>
      <c r="H13" s="2525"/>
      <c r="I13" s="2525"/>
    </row>
    <row r="14" spans="2:13" s="348" customFormat="1" ht="20" x14ac:dyDescent="0.25">
      <c r="B14" s="2525" t="s">
        <v>349</v>
      </c>
      <c r="C14" s="2525"/>
      <c r="D14" s="2525"/>
      <c r="E14" s="2525"/>
      <c r="F14" s="2525"/>
      <c r="G14" s="2525"/>
      <c r="H14" s="2525"/>
      <c r="I14" s="2525"/>
    </row>
    <row r="16" spans="2:13" x14ac:dyDescent="0.25">
      <c r="B16" s="2524" t="s">
        <v>658</v>
      </c>
      <c r="C16" s="2524"/>
      <c r="D16" s="2524"/>
      <c r="E16" s="2524"/>
      <c r="F16" s="2524"/>
      <c r="G16" s="2524"/>
      <c r="H16" s="2524"/>
      <c r="I16" s="2524"/>
    </row>
    <row r="17" spans="2:14" x14ac:dyDescent="0.25">
      <c r="B17" s="347"/>
      <c r="C17" s="347"/>
      <c r="D17" s="347"/>
      <c r="E17" s="347"/>
      <c r="F17" s="347"/>
      <c r="G17" s="347"/>
      <c r="H17" s="347"/>
      <c r="I17" s="347"/>
    </row>
    <row r="18" spans="2:14" x14ac:dyDescent="0.25">
      <c r="B18" s="347"/>
      <c r="C18" s="347"/>
      <c r="D18" s="347"/>
      <c r="E18" s="347"/>
      <c r="F18" s="347"/>
      <c r="G18" s="347"/>
      <c r="H18" s="347"/>
      <c r="I18" s="347"/>
    </row>
    <row r="19" spans="2:14" s="345" customFormat="1" x14ac:dyDescent="0.25">
      <c r="B19" s="349"/>
      <c r="C19" s="349" t="s">
        <v>21</v>
      </c>
      <c r="D19" s="349"/>
      <c r="E19" s="349"/>
      <c r="F19" s="349" t="s">
        <v>659</v>
      </c>
      <c r="G19" s="349" t="s">
        <v>237</v>
      </c>
      <c r="H19" s="349"/>
      <c r="I19" s="349"/>
    </row>
    <row r="20" spans="2:14" s="345" customFormat="1" ht="15" customHeight="1" x14ac:dyDescent="0.3">
      <c r="B20" s="349"/>
      <c r="C20" s="349" t="s">
        <v>22</v>
      </c>
      <c r="D20" s="349"/>
      <c r="E20" s="349"/>
      <c r="F20" s="349" t="s">
        <v>660</v>
      </c>
      <c r="G20" s="2523" t="s">
        <v>664</v>
      </c>
      <c r="H20" s="2523"/>
      <c r="I20" s="2523"/>
      <c r="J20" s="329"/>
      <c r="K20" s="329"/>
      <c r="L20" s="329"/>
      <c r="M20" s="329"/>
      <c r="N20" s="329"/>
    </row>
    <row r="21" spans="2:14" s="345" customFormat="1" x14ac:dyDescent="0.25">
      <c r="B21" s="349"/>
      <c r="C21" s="349"/>
      <c r="D21" s="349"/>
      <c r="E21" s="349"/>
      <c r="F21" s="349"/>
      <c r="G21" s="349" t="s">
        <v>665</v>
      </c>
      <c r="H21" s="349"/>
      <c r="I21" s="349"/>
    </row>
    <row r="22" spans="2:14" s="345" customFormat="1" x14ac:dyDescent="0.25">
      <c r="B22" s="345" t="s">
        <v>23</v>
      </c>
      <c r="C22" s="349"/>
      <c r="D22" s="345" t="s">
        <v>116</v>
      </c>
      <c r="E22" s="349"/>
      <c r="F22" s="349"/>
      <c r="G22" s="349"/>
      <c r="H22" s="349"/>
      <c r="I22" s="349"/>
    </row>
    <row r="23" spans="2:14" s="345" customFormat="1" x14ac:dyDescent="0.25">
      <c r="B23" s="345" t="s">
        <v>24</v>
      </c>
      <c r="D23" s="344" t="s">
        <v>422</v>
      </c>
      <c r="E23" s="344"/>
      <c r="F23" s="344"/>
    </row>
    <row r="24" spans="2:14" s="345" customFormat="1" x14ac:dyDescent="0.25">
      <c r="B24" s="345" t="s">
        <v>25</v>
      </c>
      <c r="D24" s="345" t="s">
        <v>423</v>
      </c>
    </row>
    <row r="25" spans="2:14" s="345" customFormat="1" x14ac:dyDescent="0.25">
      <c r="B25" s="345" t="s">
        <v>26</v>
      </c>
      <c r="D25" s="345" t="s">
        <v>424</v>
      </c>
    </row>
    <row r="26" spans="2:14" ht="13" thickBot="1" x14ac:dyDescent="0.3"/>
    <row r="27" spans="2:14" s="353" customFormat="1" ht="25.5" customHeight="1" thickTop="1" thickBot="1" x14ac:dyDescent="0.3">
      <c r="B27" s="350" t="s">
        <v>18</v>
      </c>
      <c r="C27" s="351" t="s">
        <v>19</v>
      </c>
      <c r="D27" s="351"/>
      <c r="E27" s="351"/>
      <c r="F27" s="351"/>
      <c r="G27" s="351"/>
      <c r="H27" s="351"/>
      <c r="I27" s="352"/>
    </row>
    <row r="28" spans="2:14" ht="25.5" customHeight="1" thickTop="1" x14ac:dyDescent="0.25">
      <c r="B28" s="354" t="s">
        <v>350</v>
      </c>
      <c r="C28" s="2526" t="s">
        <v>364</v>
      </c>
      <c r="D28" s="2527"/>
      <c r="E28" s="2527"/>
      <c r="F28" s="2527"/>
      <c r="G28" s="2527"/>
      <c r="H28" s="2527"/>
      <c r="I28" s="2528"/>
    </row>
    <row r="29" spans="2:14" ht="25.5" customHeight="1" x14ac:dyDescent="0.25">
      <c r="B29" s="355" t="s">
        <v>351</v>
      </c>
      <c r="C29" s="2507" t="s">
        <v>363</v>
      </c>
      <c r="D29" s="2508"/>
      <c r="E29" s="2508"/>
      <c r="F29" s="2508"/>
      <c r="G29" s="2508"/>
      <c r="H29" s="2508"/>
      <c r="I29" s="2509"/>
    </row>
    <row r="30" spans="2:14" ht="25.5" customHeight="1" x14ac:dyDescent="0.25">
      <c r="B30" s="355" t="s">
        <v>352</v>
      </c>
      <c r="C30" s="2507" t="s">
        <v>362</v>
      </c>
      <c r="D30" s="2508"/>
      <c r="E30" s="2508"/>
      <c r="F30" s="2508"/>
      <c r="G30" s="2508"/>
      <c r="H30" s="2508"/>
      <c r="I30" s="2509"/>
    </row>
    <row r="31" spans="2:14" ht="25.5" customHeight="1" x14ac:dyDescent="0.25">
      <c r="B31" s="354" t="s">
        <v>353</v>
      </c>
      <c r="C31" s="356" t="s">
        <v>360</v>
      </c>
      <c r="D31" s="357"/>
      <c r="E31" s="357"/>
      <c r="F31" s="357"/>
      <c r="G31" s="357"/>
      <c r="H31" s="357"/>
      <c r="I31" s="358"/>
    </row>
    <row r="32" spans="2:14" ht="25.5" customHeight="1" x14ac:dyDescent="0.25">
      <c r="B32" s="359"/>
      <c r="C32" s="360" t="s">
        <v>361</v>
      </c>
      <c r="D32" s="361"/>
      <c r="E32" s="361"/>
      <c r="F32" s="361"/>
      <c r="G32" s="361"/>
      <c r="H32" s="361"/>
      <c r="I32" s="362"/>
    </row>
    <row r="33" spans="2:9" ht="25.5" customHeight="1" x14ac:dyDescent="0.25">
      <c r="B33" s="363" t="s">
        <v>354</v>
      </c>
      <c r="C33" s="356" t="s">
        <v>358</v>
      </c>
      <c r="D33" s="357"/>
      <c r="E33" s="357"/>
      <c r="F33" s="357"/>
      <c r="G33" s="357"/>
      <c r="H33" s="357"/>
      <c r="I33" s="358"/>
    </row>
    <row r="34" spans="2:9" ht="25.5" customHeight="1" x14ac:dyDescent="0.25">
      <c r="B34" s="359"/>
      <c r="C34" s="360" t="s">
        <v>359</v>
      </c>
      <c r="D34" s="361"/>
      <c r="E34" s="361"/>
      <c r="F34" s="361"/>
      <c r="G34" s="361"/>
      <c r="H34" s="361"/>
      <c r="I34" s="362"/>
    </row>
    <row r="35" spans="2:9" ht="18" customHeight="1" x14ac:dyDescent="0.25">
      <c r="B35" s="2521" t="s">
        <v>355</v>
      </c>
      <c r="C35" s="2512" t="s">
        <v>30</v>
      </c>
      <c r="D35" s="2513"/>
      <c r="E35" s="2513"/>
      <c r="F35" s="2513"/>
      <c r="G35" s="2513"/>
      <c r="H35" s="2513"/>
      <c r="I35" s="2514"/>
    </row>
    <row r="36" spans="2:9" ht="18" customHeight="1" x14ac:dyDescent="0.25">
      <c r="B36" s="2522"/>
      <c r="C36" s="2515"/>
      <c r="D36" s="2516"/>
      <c r="E36" s="2516"/>
      <c r="F36" s="2516"/>
      <c r="G36" s="2516"/>
      <c r="H36" s="2516"/>
      <c r="I36" s="2517"/>
    </row>
    <row r="37" spans="2:9" ht="18" customHeight="1" x14ac:dyDescent="0.25">
      <c r="B37" s="2510" t="s">
        <v>356</v>
      </c>
      <c r="C37" s="2512" t="s">
        <v>27</v>
      </c>
      <c r="D37" s="2513"/>
      <c r="E37" s="2513"/>
      <c r="F37" s="2513"/>
      <c r="G37" s="2513"/>
      <c r="H37" s="2513"/>
      <c r="I37" s="2514"/>
    </row>
    <row r="38" spans="2:9" ht="18" customHeight="1" x14ac:dyDescent="0.25">
      <c r="B38" s="2510"/>
      <c r="C38" s="2515"/>
      <c r="D38" s="2516"/>
      <c r="E38" s="2516"/>
      <c r="F38" s="2516"/>
      <c r="G38" s="2516"/>
      <c r="H38" s="2516"/>
      <c r="I38" s="2517"/>
    </row>
    <row r="39" spans="2:9" ht="18" customHeight="1" x14ac:dyDescent="0.25">
      <c r="B39" s="2510" t="s">
        <v>365</v>
      </c>
      <c r="C39" s="2512" t="s">
        <v>28</v>
      </c>
      <c r="D39" s="2513"/>
      <c r="E39" s="2513"/>
      <c r="F39" s="2513"/>
      <c r="G39" s="2513"/>
      <c r="H39" s="2513"/>
      <c r="I39" s="2514"/>
    </row>
    <row r="40" spans="2:9" ht="18" customHeight="1" x14ac:dyDescent="0.25">
      <c r="B40" s="2510"/>
      <c r="C40" s="2515"/>
      <c r="D40" s="2516"/>
      <c r="E40" s="2516"/>
      <c r="F40" s="2516"/>
      <c r="G40" s="2516"/>
      <c r="H40" s="2516"/>
      <c r="I40" s="2517"/>
    </row>
    <row r="41" spans="2:9" ht="18" customHeight="1" x14ac:dyDescent="0.25">
      <c r="B41" s="2510" t="s">
        <v>357</v>
      </c>
      <c r="C41" s="2512" t="s">
        <v>29</v>
      </c>
      <c r="D41" s="2513"/>
      <c r="E41" s="2513"/>
      <c r="F41" s="2513"/>
      <c r="G41" s="2513"/>
      <c r="H41" s="2513"/>
      <c r="I41" s="2514"/>
    </row>
    <row r="42" spans="2:9" ht="18" customHeight="1" x14ac:dyDescent="0.25">
      <c r="B42" s="2510"/>
      <c r="C42" s="2515"/>
      <c r="D42" s="2516"/>
      <c r="E42" s="2516"/>
      <c r="F42" s="2516"/>
      <c r="G42" s="2516"/>
      <c r="H42" s="2516"/>
      <c r="I42" s="2517"/>
    </row>
    <row r="43" spans="2:9" ht="18" customHeight="1" x14ac:dyDescent="0.25">
      <c r="B43" s="2510"/>
      <c r="C43" s="2512"/>
      <c r="D43" s="2513"/>
      <c r="E43" s="2513"/>
      <c r="F43" s="2513"/>
      <c r="G43" s="2513"/>
      <c r="H43" s="2513"/>
      <c r="I43" s="2514"/>
    </row>
    <row r="44" spans="2:9" ht="18" customHeight="1" thickBot="1" x14ac:dyDescent="0.3">
      <c r="B44" s="2511"/>
      <c r="C44" s="2518"/>
      <c r="D44" s="2519"/>
      <c r="E44" s="2519"/>
      <c r="F44" s="2519"/>
      <c r="G44" s="2519"/>
      <c r="H44" s="2519"/>
      <c r="I44" s="2520"/>
    </row>
    <row r="45" spans="2:9" ht="13" thickTop="1" x14ac:dyDescent="0.25">
      <c r="B45" s="364"/>
    </row>
  </sheetData>
  <mergeCells count="19">
    <mergeCell ref="G20:I20"/>
    <mergeCell ref="B9:I9"/>
    <mergeCell ref="B12:I12"/>
    <mergeCell ref="C28:I28"/>
    <mergeCell ref="B13:I13"/>
    <mergeCell ref="B14:I14"/>
    <mergeCell ref="B16:I16"/>
    <mergeCell ref="C30:I30"/>
    <mergeCell ref="C29:I29"/>
    <mergeCell ref="B43:B44"/>
    <mergeCell ref="C35:I36"/>
    <mergeCell ref="C37:I38"/>
    <mergeCell ref="C39:I40"/>
    <mergeCell ref="C41:I42"/>
    <mergeCell ref="C43:I44"/>
    <mergeCell ref="B35:B36"/>
    <mergeCell ref="B37:B38"/>
    <mergeCell ref="B39:B40"/>
    <mergeCell ref="B41:B42"/>
  </mergeCells>
  <phoneticPr fontId="15" type="noConversion"/>
  <printOptions horizontalCentered="1"/>
  <pageMargins left="0.74803149606299213" right="0.51181102362204722" top="0.98425196850393704" bottom="2.0078740157480315" header="1.0236220472440944" footer="0.51181102362204722"/>
  <pageSetup paperSize="5" scale="9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B1:X109"/>
  <sheetViews>
    <sheetView tabSelected="1" view="pageBreakPreview" topLeftCell="A7" zoomScale="76" zoomScaleNormal="70" zoomScaleSheetLayoutView="100" workbookViewId="0">
      <selection activeCell="T32" sqref="T32"/>
    </sheetView>
  </sheetViews>
  <sheetFormatPr defaultColWidth="8.7265625" defaultRowHeight="12.5" x14ac:dyDescent="0.25"/>
  <cols>
    <col min="1" max="1" width="4.269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3.36328125" style="341" customWidth="1"/>
    <col min="17" max="17" width="9" style="341" customWidth="1"/>
    <col min="18" max="18" width="8" style="341" customWidth="1"/>
    <col min="19" max="19" width="15.1796875" style="341" customWidth="1"/>
    <col min="20" max="20" width="22.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313</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'Pemel PRLTN GDG KTR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412"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413"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419" t="s">
        <v>439</v>
      </c>
      <c r="M8" s="2862" t="s">
        <v>441</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440</v>
      </c>
      <c r="M9" s="2866" t="s">
        <v>442</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'Pemel PRLTN GDG KTR '!M10:V10</f>
        <v>Januari s/d Desember 2020</v>
      </c>
      <c r="N10" s="2868"/>
      <c r="O10" s="2868"/>
      <c r="P10" s="2868"/>
      <c r="Q10" s="2868"/>
      <c r="R10" s="2868"/>
      <c r="S10" s="2868"/>
      <c r="T10" s="2868"/>
      <c r="U10" s="2868"/>
      <c r="V10" s="2869"/>
    </row>
    <row r="11" spans="2:24" ht="31.5" customHeight="1" x14ac:dyDescent="0.25">
      <c r="B11" s="2939" t="s">
        <v>319</v>
      </c>
      <c r="C11" s="2940"/>
      <c r="D11" s="2940"/>
      <c r="E11" s="2940"/>
      <c r="F11" s="2940"/>
      <c r="G11" s="2940"/>
      <c r="H11" s="2940"/>
      <c r="I11" s="2940"/>
      <c r="J11" s="2940"/>
      <c r="K11" s="2940"/>
      <c r="L11" s="344"/>
      <c r="M11" s="3135" t="s">
        <v>620</v>
      </c>
      <c r="N11" s="3135"/>
      <c r="O11" s="3135"/>
      <c r="P11" s="3135"/>
      <c r="Q11" s="3135"/>
      <c r="R11" s="3135"/>
      <c r="S11" s="3135"/>
      <c r="T11" s="3135"/>
      <c r="U11" s="3135"/>
      <c r="V11" s="313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416"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4" t="s">
        <v>504</v>
      </c>
      <c r="M16" s="2827" t="s">
        <v>504</v>
      </c>
      <c r="N16" s="2828"/>
      <c r="O16" s="2828"/>
      <c r="P16" s="2829"/>
      <c r="Q16" s="2821">
        <v>1</v>
      </c>
      <c r="R16" s="2822"/>
      <c r="S16" s="2822"/>
      <c r="T16" s="2872">
        <v>1</v>
      </c>
      <c r="U16" s="2873"/>
      <c r="V16" s="2874"/>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75164880</v>
      </c>
      <c r="R17" s="2840"/>
      <c r="S17" s="2841"/>
      <c r="T17" s="2842">
        <f>T28</f>
        <v>0</v>
      </c>
      <c r="U17" s="2842"/>
      <c r="V17" s="2843"/>
    </row>
    <row r="18" spans="2:22" ht="24.5" customHeight="1" x14ac:dyDescent="0.25">
      <c r="B18" s="2834" t="s">
        <v>136</v>
      </c>
      <c r="C18" s="2835"/>
      <c r="D18" s="2835"/>
      <c r="E18" s="2835"/>
      <c r="F18" s="2835"/>
      <c r="G18" s="2835"/>
      <c r="H18" s="2835"/>
      <c r="I18" s="2835"/>
      <c r="J18" s="2835"/>
      <c r="K18" s="2836"/>
      <c r="L18" s="811" t="s">
        <v>505</v>
      </c>
      <c r="M18" s="2875" t="s">
        <v>505</v>
      </c>
      <c r="N18" s="2875"/>
      <c r="O18" s="2875"/>
      <c r="P18" s="2875"/>
      <c r="Q18" s="2822" t="s">
        <v>506</v>
      </c>
      <c r="R18" s="2822"/>
      <c r="S18" s="2822"/>
      <c r="T18" s="2822" t="s">
        <v>506</v>
      </c>
      <c r="U18" s="2822"/>
      <c r="V18" s="2823"/>
    </row>
    <row r="19" spans="2:22" ht="27.65" customHeight="1" x14ac:dyDescent="0.25">
      <c r="B19" s="2834" t="s">
        <v>137</v>
      </c>
      <c r="C19" s="2835"/>
      <c r="D19" s="2835"/>
      <c r="E19" s="2835"/>
      <c r="F19" s="2835"/>
      <c r="G19" s="2835"/>
      <c r="H19" s="2835"/>
      <c r="I19" s="2835"/>
      <c r="J19" s="2835"/>
      <c r="K19" s="2836"/>
      <c r="L19" s="524" t="s">
        <v>507</v>
      </c>
      <c r="M19" s="2820" t="s">
        <v>507</v>
      </c>
      <c r="N19" s="2820"/>
      <c r="O19" s="2820"/>
      <c r="P19" s="2820"/>
      <c r="Q19" s="2830">
        <v>0.05</v>
      </c>
      <c r="R19" s="2616"/>
      <c r="S19" s="2616"/>
      <c r="T19" s="2830">
        <v>0.05</v>
      </c>
      <c r="U19" s="2616"/>
      <c r="V19" s="2837"/>
    </row>
    <row r="20" spans="2:22" ht="14.25" customHeight="1" x14ac:dyDescent="0.3">
      <c r="B20" s="2824" t="s">
        <v>443</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414" t="s">
        <v>7</v>
      </c>
      <c r="Q27" s="147">
        <v>7</v>
      </c>
      <c r="R27" s="147">
        <v>8</v>
      </c>
      <c r="S27" s="86">
        <v>9</v>
      </c>
      <c r="T27" s="90" t="s">
        <v>275</v>
      </c>
      <c r="U27" s="92" t="s">
        <v>274</v>
      </c>
      <c r="V27" s="93">
        <v>12</v>
      </c>
    </row>
    <row r="28" spans="2:22" ht="13" thickTop="1" x14ac:dyDescent="0.25">
      <c r="B28" s="1920">
        <v>1</v>
      </c>
      <c r="C28" s="1921" t="s">
        <v>444</v>
      </c>
      <c r="D28" s="1921" t="s">
        <v>84</v>
      </c>
      <c r="E28" s="1922"/>
      <c r="F28" s="1923"/>
      <c r="G28" s="1924">
        <v>5</v>
      </c>
      <c r="H28" s="1924">
        <v>2</v>
      </c>
      <c r="I28" s="1923"/>
      <c r="J28" s="1923"/>
      <c r="K28" s="1923"/>
      <c r="L28" s="1925" t="s">
        <v>54</v>
      </c>
      <c r="M28" s="1876"/>
      <c r="N28" s="1877"/>
      <c r="O28" s="1878"/>
      <c r="P28" s="1879">
        <f>P29</f>
        <v>75164880</v>
      </c>
      <c r="Q28" s="1876"/>
      <c r="R28" s="1877"/>
      <c r="S28" s="1878"/>
      <c r="T28" s="1879">
        <f>T29</f>
        <v>0</v>
      </c>
      <c r="U28" s="958">
        <f>SUM(T28)-P28</f>
        <v>-75164880</v>
      </c>
      <c r="V28" s="425"/>
    </row>
    <row r="29" spans="2:22" ht="25" x14ac:dyDescent="0.25">
      <c r="B29" s="1730">
        <v>1</v>
      </c>
      <c r="C29" s="1722" t="s">
        <v>444</v>
      </c>
      <c r="D29" s="1722" t="s">
        <v>84</v>
      </c>
      <c r="E29" s="1797">
        <v>15</v>
      </c>
      <c r="F29" s="1722"/>
      <c r="G29" s="1716"/>
      <c r="H29" s="1716"/>
      <c r="I29" s="1717"/>
      <c r="J29" s="1717"/>
      <c r="K29" s="1717"/>
      <c r="L29" s="1891" t="s">
        <v>622</v>
      </c>
      <c r="M29" s="1799"/>
      <c r="N29" s="1795"/>
      <c r="O29" s="1796"/>
      <c r="P29" s="1188">
        <f>P30</f>
        <v>75164880</v>
      </c>
      <c r="Q29" s="1799"/>
      <c r="R29" s="1795"/>
      <c r="S29" s="1796"/>
      <c r="T29" s="1188">
        <f>T30</f>
        <v>0</v>
      </c>
      <c r="U29" s="674"/>
      <c r="V29" s="761"/>
    </row>
    <row r="30" spans="2:22" ht="26.15" customHeight="1" x14ac:dyDescent="0.25">
      <c r="B30" s="797">
        <v>1</v>
      </c>
      <c r="C30" s="1074" t="s">
        <v>444</v>
      </c>
      <c r="D30" s="1074" t="s">
        <v>84</v>
      </c>
      <c r="E30" s="799">
        <v>15</v>
      </c>
      <c r="F30" s="799" t="s">
        <v>87</v>
      </c>
      <c r="G30" s="1716"/>
      <c r="H30" s="1716"/>
      <c r="I30" s="1717"/>
      <c r="J30" s="1717"/>
      <c r="K30" s="1722"/>
      <c r="L30" s="1892" t="s">
        <v>1038</v>
      </c>
      <c r="M30" s="1799"/>
      <c r="N30" s="1795"/>
      <c r="O30" s="1796"/>
      <c r="P30" s="1188">
        <f>P32+P49</f>
        <v>75164880</v>
      </c>
      <c r="Q30" s="1799"/>
      <c r="R30" s="1795"/>
      <c r="S30" s="1796"/>
      <c r="T30" s="1188">
        <f>T32+T49</f>
        <v>0</v>
      </c>
      <c r="U30" s="812">
        <f>SUM(T30)-P30</f>
        <v>-75164880</v>
      </c>
      <c r="V30" s="761"/>
    </row>
    <row r="31" spans="2:22" x14ac:dyDescent="0.25">
      <c r="B31" s="1730"/>
      <c r="C31" s="1722"/>
      <c r="D31" s="1722"/>
      <c r="E31" s="1797"/>
      <c r="F31" s="1722"/>
      <c r="G31" s="1716"/>
      <c r="H31" s="1716"/>
      <c r="I31" s="1717"/>
      <c r="J31" s="1717"/>
      <c r="K31" s="1722"/>
      <c r="L31" s="1801"/>
      <c r="M31" s="1802"/>
      <c r="N31" s="1803"/>
      <c r="O31" s="1804"/>
      <c r="P31" s="1880"/>
      <c r="Q31" s="1802"/>
      <c r="R31" s="1803"/>
      <c r="S31" s="1804"/>
      <c r="T31" s="1880"/>
      <c r="U31" s="674"/>
      <c r="V31" s="761"/>
    </row>
    <row r="32" spans="2:22" ht="14.5" customHeight="1" x14ac:dyDescent="0.25">
      <c r="B32" s="1730">
        <v>1</v>
      </c>
      <c r="C32" s="1722" t="s">
        <v>444</v>
      </c>
      <c r="D32" s="1722" t="s">
        <v>84</v>
      </c>
      <c r="E32" s="1797">
        <v>15</v>
      </c>
      <c r="F32" s="1797" t="s">
        <v>87</v>
      </c>
      <c r="G32" s="1716">
        <v>5</v>
      </c>
      <c r="H32" s="1716">
        <v>2</v>
      </c>
      <c r="I32" s="1717">
        <v>1</v>
      </c>
      <c r="J32" s="1717"/>
      <c r="K32" s="1717"/>
      <c r="L32" s="1718" t="s">
        <v>39</v>
      </c>
      <c r="M32" s="602"/>
      <c r="N32" s="1719"/>
      <c r="O32" s="1720"/>
      <c r="P32" s="1880">
        <f>P33</f>
        <v>71600000</v>
      </c>
      <c r="Q32" s="602"/>
      <c r="R32" s="1719"/>
      <c r="S32" s="1720"/>
      <c r="T32" s="1880">
        <f>T33</f>
        <v>0</v>
      </c>
      <c r="U32" s="812">
        <f>SUM(T32)-P32</f>
        <v>-71600000</v>
      </c>
      <c r="V32" s="761"/>
    </row>
    <row r="33" spans="2:22" ht="15.65" customHeight="1" x14ac:dyDescent="0.25">
      <c r="B33" s="1730">
        <v>1</v>
      </c>
      <c r="C33" s="1722" t="s">
        <v>444</v>
      </c>
      <c r="D33" s="1722" t="s">
        <v>84</v>
      </c>
      <c r="E33" s="1797">
        <v>15</v>
      </c>
      <c r="F33" s="1797" t="s">
        <v>87</v>
      </c>
      <c r="G33" s="1716">
        <v>5</v>
      </c>
      <c r="H33" s="1716">
        <v>2</v>
      </c>
      <c r="I33" s="1717">
        <v>1</v>
      </c>
      <c r="J33" s="1722" t="s">
        <v>84</v>
      </c>
      <c r="K33" s="1717"/>
      <c r="L33" s="1723" t="s">
        <v>96</v>
      </c>
      <c r="M33" s="602"/>
      <c r="N33" s="1724"/>
      <c r="O33" s="1725"/>
      <c r="P33" s="1880">
        <f>P34+P37</f>
        <v>71600000</v>
      </c>
      <c r="Q33" s="602"/>
      <c r="R33" s="1724"/>
      <c r="S33" s="1725"/>
      <c r="T33" s="1880">
        <f>T34+T37</f>
        <v>0</v>
      </c>
      <c r="U33" s="812"/>
      <c r="V33" s="761"/>
    </row>
    <row r="34" spans="2:22" x14ac:dyDescent="0.25">
      <c r="B34" s="1730">
        <v>1</v>
      </c>
      <c r="C34" s="1722" t="s">
        <v>444</v>
      </c>
      <c r="D34" s="1722" t="s">
        <v>84</v>
      </c>
      <c r="E34" s="1797">
        <v>15</v>
      </c>
      <c r="F34" s="1797" t="s">
        <v>87</v>
      </c>
      <c r="G34" s="1716">
        <v>5</v>
      </c>
      <c r="H34" s="1716">
        <v>2</v>
      </c>
      <c r="I34" s="1717">
        <v>1</v>
      </c>
      <c r="J34" s="1722" t="s">
        <v>84</v>
      </c>
      <c r="K34" s="1722" t="s">
        <v>84</v>
      </c>
      <c r="L34" s="1726" t="s">
        <v>85</v>
      </c>
      <c r="M34" s="603"/>
      <c r="N34" s="1727"/>
      <c r="O34" s="1728"/>
      <c r="P34" s="1881">
        <f>SUM(P35:P35)</f>
        <v>2000000</v>
      </c>
      <c r="Q34" s="603"/>
      <c r="R34" s="1727"/>
      <c r="S34" s="1728"/>
      <c r="T34" s="1881">
        <f>SUM(T35:T35)</f>
        <v>0</v>
      </c>
      <c r="U34" s="812">
        <f>SUM(T34)-P34</f>
        <v>-2000000</v>
      </c>
      <c r="V34" s="761"/>
    </row>
    <row r="35" spans="2:22" ht="25" x14ac:dyDescent="0.25">
      <c r="B35" s="1730"/>
      <c r="C35" s="1722"/>
      <c r="D35" s="1722"/>
      <c r="E35" s="1731"/>
      <c r="F35" s="1722"/>
      <c r="G35" s="1717"/>
      <c r="H35" s="1717"/>
      <c r="I35" s="1735"/>
      <c r="J35" s="1736"/>
      <c r="K35" s="1722"/>
      <c r="L35" s="1805" t="s">
        <v>1039</v>
      </c>
      <c r="M35" s="604">
        <v>8</v>
      </c>
      <c r="N35" s="605" t="s">
        <v>82</v>
      </c>
      <c r="O35" s="606">
        <v>250000</v>
      </c>
      <c r="P35" s="610">
        <f>O35*M35</f>
        <v>2000000</v>
      </c>
      <c r="Q35" s="604"/>
      <c r="R35" s="605"/>
      <c r="S35" s="606"/>
      <c r="T35" s="610">
        <f>S35*Q35</f>
        <v>0</v>
      </c>
      <c r="U35" s="812">
        <f>SUM(T35)-P35</f>
        <v>-2000000</v>
      </c>
      <c r="V35" s="439">
        <f>U35/P35*100</f>
        <v>-100</v>
      </c>
    </row>
    <row r="36" spans="2:22" x14ac:dyDescent="0.25">
      <c r="B36" s="1730"/>
      <c r="C36" s="1722"/>
      <c r="D36" s="1722"/>
      <c r="E36" s="1731"/>
      <c r="F36" s="1722"/>
      <c r="G36" s="1717"/>
      <c r="H36" s="1717"/>
      <c r="I36" s="1735"/>
      <c r="J36" s="1736"/>
      <c r="K36" s="1722"/>
      <c r="L36" s="1806"/>
      <c r="M36" s="604"/>
      <c r="N36" s="1807"/>
      <c r="O36" s="1808"/>
      <c r="P36" s="1808"/>
      <c r="Q36" s="604"/>
      <c r="R36" s="1807"/>
      <c r="S36" s="1808"/>
      <c r="T36" s="1808"/>
      <c r="U36" s="812">
        <f>SUM(T36)-P36</f>
        <v>0</v>
      </c>
      <c r="V36" s="761"/>
    </row>
    <row r="37" spans="2:22" x14ac:dyDescent="0.25">
      <c r="B37" s="1730">
        <v>1</v>
      </c>
      <c r="C37" s="1722" t="s">
        <v>444</v>
      </c>
      <c r="D37" s="1722" t="s">
        <v>84</v>
      </c>
      <c r="E37" s="1797">
        <v>15</v>
      </c>
      <c r="F37" s="1797" t="s">
        <v>87</v>
      </c>
      <c r="G37" s="1716">
        <v>5</v>
      </c>
      <c r="H37" s="1716">
        <v>2</v>
      </c>
      <c r="I37" s="1717">
        <v>1</v>
      </c>
      <c r="J37" s="1722" t="s">
        <v>84</v>
      </c>
      <c r="K37" s="1722" t="s">
        <v>112</v>
      </c>
      <c r="L37" s="1726" t="s">
        <v>502</v>
      </c>
      <c r="M37" s="604"/>
      <c r="N37" s="1738"/>
      <c r="O37" s="1807"/>
      <c r="P37" s="1882">
        <f>P38+P44</f>
        <v>69600000</v>
      </c>
      <c r="Q37" s="604"/>
      <c r="R37" s="1738"/>
      <c r="S37" s="1807"/>
      <c r="T37" s="1882">
        <f>T38+T44</f>
        <v>0</v>
      </c>
      <c r="U37" s="812">
        <f>SUM(T37)-P37</f>
        <v>-69600000</v>
      </c>
      <c r="V37" s="761"/>
    </row>
    <row r="38" spans="2:22" x14ac:dyDescent="0.25">
      <c r="B38" s="1730"/>
      <c r="C38" s="1722"/>
      <c r="D38" s="1722"/>
      <c r="E38" s="1731"/>
      <c r="F38" s="1722"/>
      <c r="G38" s="1717"/>
      <c r="H38" s="1717"/>
      <c r="I38" s="1716"/>
      <c r="J38" s="1732"/>
      <c r="K38" s="1722"/>
      <c r="L38" s="1893" t="s">
        <v>1040</v>
      </c>
      <c r="M38" s="604"/>
      <c r="N38" s="1738"/>
      <c r="O38" s="1739"/>
      <c r="P38" s="1808">
        <f>SUM(P39:P43)</f>
        <v>48900000</v>
      </c>
      <c r="Q38" s="604"/>
      <c r="R38" s="1738"/>
      <c r="S38" s="1739"/>
      <c r="T38" s="1808">
        <f>SUM(T39:T43)</f>
        <v>0</v>
      </c>
      <c r="U38" s="674"/>
      <c r="V38" s="761"/>
    </row>
    <row r="39" spans="2:22" x14ac:dyDescent="0.25">
      <c r="B39" s="1812"/>
      <c r="C39" s="1813"/>
      <c r="D39" s="1813"/>
      <c r="E39" s="1814"/>
      <c r="F39" s="1813"/>
      <c r="G39" s="1815"/>
      <c r="H39" s="1815"/>
      <c r="I39" s="1816"/>
      <c r="J39" s="1817"/>
      <c r="K39" s="1813"/>
      <c r="L39" s="1894" t="s">
        <v>1041</v>
      </c>
      <c r="M39" s="604">
        <f>2*6</f>
        <v>12</v>
      </c>
      <c r="N39" s="1807" t="s">
        <v>82</v>
      </c>
      <c r="O39" s="1808">
        <v>500000</v>
      </c>
      <c r="P39" s="1808">
        <f>M39*O39</f>
        <v>6000000</v>
      </c>
      <c r="Q39" s="604"/>
      <c r="R39" s="1807"/>
      <c r="S39" s="1808"/>
      <c r="T39" s="1808">
        <f>Q39*S39</f>
        <v>0</v>
      </c>
      <c r="U39" s="812">
        <f>SUM(T39)-P39</f>
        <v>-6000000</v>
      </c>
      <c r="V39" s="439">
        <f>U39/P39*100</f>
        <v>-100</v>
      </c>
    </row>
    <row r="40" spans="2:22" x14ac:dyDescent="0.25">
      <c r="B40" s="1812"/>
      <c r="C40" s="1813"/>
      <c r="D40" s="1813"/>
      <c r="E40" s="1814"/>
      <c r="F40" s="1813"/>
      <c r="G40" s="1815"/>
      <c r="H40" s="1815"/>
      <c r="I40" s="1816"/>
      <c r="J40" s="1817"/>
      <c r="K40" s="1813"/>
      <c r="L40" s="1818" t="s">
        <v>1042</v>
      </c>
      <c r="M40" s="604">
        <f>1*6</f>
        <v>6</v>
      </c>
      <c r="N40" s="1807" t="s">
        <v>82</v>
      </c>
      <c r="O40" s="1808">
        <v>450000</v>
      </c>
      <c r="P40" s="1808">
        <f>M40*O40</f>
        <v>2700000</v>
      </c>
      <c r="Q40" s="604"/>
      <c r="R40" s="1807"/>
      <c r="S40" s="1808"/>
      <c r="T40" s="1808">
        <f>Q40*S40</f>
        <v>0</v>
      </c>
      <c r="U40" s="812">
        <f>SUM(T40)-P40</f>
        <v>-2700000</v>
      </c>
      <c r="V40" s="439">
        <f>U40/P40*100</f>
        <v>-100</v>
      </c>
    </row>
    <row r="41" spans="2:22" x14ac:dyDescent="0.25">
      <c r="B41" s="1812"/>
      <c r="C41" s="1813"/>
      <c r="D41" s="1813"/>
      <c r="E41" s="1814"/>
      <c r="F41" s="1813"/>
      <c r="G41" s="1815"/>
      <c r="H41" s="1815"/>
      <c r="I41" s="1816"/>
      <c r="J41" s="1817"/>
      <c r="K41" s="1813"/>
      <c r="L41" s="1819" t="s">
        <v>1043</v>
      </c>
      <c r="M41" s="604">
        <f>1*6</f>
        <v>6</v>
      </c>
      <c r="N41" s="1807" t="s">
        <v>82</v>
      </c>
      <c r="O41" s="1808">
        <v>400000</v>
      </c>
      <c r="P41" s="1808">
        <f>M41*O41</f>
        <v>2400000</v>
      </c>
      <c r="Q41" s="604"/>
      <c r="R41" s="1807"/>
      <c r="S41" s="1808"/>
      <c r="T41" s="1808">
        <f>Q41*S41</f>
        <v>0</v>
      </c>
      <c r="U41" s="674"/>
      <c r="V41" s="761"/>
    </row>
    <row r="42" spans="2:22" x14ac:dyDescent="0.25">
      <c r="B42" s="1812"/>
      <c r="C42" s="1813"/>
      <c r="D42" s="1813"/>
      <c r="E42" s="1814"/>
      <c r="F42" s="1813"/>
      <c r="G42" s="1815"/>
      <c r="H42" s="1815"/>
      <c r="I42" s="1816"/>
      <c r="J42" s="1817"/>
      <c r="K42" s="1813"/>
      <c r="L42" s="1819" t="s">
        <v>1044</v>
      </c>
      <c r="M42" s="604">
        <f>2*6</f>
        <v>12</v>
      </c>
      <c r="N42" s="1807" t="s">
        <v>82</v>
      </c>
      <c r="O42" s="1808">
        <v>350000</v>
      </c>
      <c r="P42" s="1808">
        <f>O42*M42</f>
        <v>4200000</v>
      </c>
      <c r="Q42" s="604"/>
      <c r="R42" s="1807"/>
      <c r="S42" s="1808"/>
      <c r="T42" s="1808">
        <f>S42*Q42</f>
        <v>0</v>
      </c>
      <c r="U42" s="812">
        <f>SUM(T42)-P42</f>
        <v>-4200000</v>
      </c>
      <c r="V42" s="761"/>
    </row>
    <row r="43" spans="2:22" x14ac:dyDescent="0.25">
      <c r="B43" s="1812"/>
      <c r="C43" s="1813"/>
      <c r="D43" s="1813"/>
      <c r="E43" s="1814"/>
      <c r="F43" s="1813"/>
      <c r="G43" s="1815"/>
      <c r="H43" s="1815"/>
      <c r="I43" s="1816"/>
      <c r="J43" s="1817"/>
      <c r="K43" s="1813"/>
      <c r="L43" s="1819" t="s">
        <v>1045</v>
      </c>
      <c r="M43" s="604">
        <f>28*6</f>
        <v>168</v>
      </c>
      <c r="N43" s="1807" t="s">
        <v>82</v>
      </c>
      <c r="O43" s="1808">
        <v>200000</v>
      </c>
      <c r="P43" s="1808">
        <f>O43*M43</f>
        <v>33600000</v>
      </c>
      <c r="Q43" s="604"/>
      <c r="R43" s="1807"/>
      <c r="S43" s="1808"/>
      <c r="T43" s="1808">
        <f>S43*Q43</f>
        <v>0</v>
      </c>
      <c r="U43" s="812">
        <f>SUM(T43)-P43</f>
        <v>-33600000</v>
      </c>
      <c r="V43" s="761"/>
    </row>
    <row r="44" spans="2:22" ht="25" x14ac:dyDescent="0.25">
      <c r="B44" s="1812"/>
      <c r="C44" s="1813"/>
      <c r="D44" s="1813"/>
      <c r="E44" s="1814"/>
      <c r="F44" s="1813"/>
      <c r="G44" s="1815"/>
      <c r="H44" s="1815"/>
      <c r="I44" s="1815"/>
      <c r="J44" s="1813"/>
      <c r="K44" s="1813"/>
      <c r="L44" s="963" t="s">
        <v>1046</v>
      </c>
      <c r="M44" s="604"/>
      <c r="N44" s="1807"/>
      <c r="O44" s="1808"/>
      <c r="P44" s="610">
        <f>SUM(P45:P47)</f>
        <v>20700000</v>
      </c>
      <c r="Q44" s="604"/>
      <c r="R44" s="1807"/>
      <c r="S44" s="1808"/>
      <c r="T44" s="610">
        <f>SUM(T45:T47)</f>
        <v>0</v>
      </c>
      <c r="U44" s="812">
        <f>SUM(T44)-P44</f>
        <v>-20700000</v>
      </c>
      <c r="V44" s="761"/>
    </row>
    <row r="45" spans="2:22" x14ac:dyDescent="0.25">
      <c r="B45" s="1812"/>
      <c r="C45" s="1813"/>
      <c r="D45" s="1813"/>
      <c r="E45" s="1814"/>
      <c r="F45" s="1813"/>
      <c r="G45" s="1815"/>
      <c r="H45" s="1815"/>
      <c r="I45" s="1815"/>
      <c r="J45" s="1813"/>
      <c r="K45" s="1813"/>
      <c r="L45" s="1819" t="s">
        <v>1028</v>
      </c>
      <c r="M45" s="604">
        <f>1*6</f>
        <v>6</v>
      </c>
      <c r="N45" s="1807" t="s">
        <v>82</v>
      </c>
      <c r="O45" s="1808">
        <v>350000</v>
      </c>
      <c r="P45" s="1808">
        <f>O45*M45</f>
        <v>2100000</v>
      </c>
      <c r="Q45" s="604"/>
      <c r="R45" s="1807"/>
      <c r="S45" s="1808"/>
      <c r="T45" s="1808">
        <f>S45*Q45</f>
        <v>0</v>
      </c>
      <c r="U45" s="812">
        <f>SUM(T45)-P45</f>
        <v>-2100000</v>
      </c>
      <c r="V45" s="761"/>
    </row>
    <row r="46" spans="2:22" x14ac:dyDescent="0.25">
      <c r="B46" s="1812"/>
      <c r="C46" s="1813"/>
      <c r="D46" s="1813"/>
      <c r="E46" s="1814"/>
      <c r="F46" s="1813"/>
      <c r="G46" s="1815"/>
      <c r="H46" s="1815"/>
      <c r="I46" s="1815"/>
      <c r="J46" s="1813"/>
      <c r="K46" s="1813"/>
      <c r="L46" s="1819" t="s">
        <v>1047</v>
      </c>
      <c r="M46" s="604">
        <f>1*6</f>
        <v>6</v>
      </c>
      <c r="N46" s="1807" t="s">
        <v>82</v>
      </c>
      <c r="O46" s="1808">
        <v>300000</v>
      </c>
      <c r="P46" s="1808">
        <f>O46*M46</f>
        <v>1800000</v>
      </c>
      <c r="Q46" s="604"/>
      <c r="R46" s="1807"/>
      <c r="S46" s="1808"/>
      <c r="T46" s="1808">
        <f>S46*Q46</f>
        <v>0</v>
      </c>
      <c r="U46" s="812">
        <f t="shared" ref="U46:U47" si="0">SUM(T46)-P46</f>
        <v>-1800000</v>
      </c>
      <c r="V46" s="761"/>
    </row>
    <row r="47" spans="2:22" x14ac:dyDescent="0.25">
      <c r="B47" s="1812"/>
      <c r="C47" s="1813"/>
      <c r="D47" s="1813"/>
      <c r="E47" s="1814"/>
      <c r="F47" s="1813"/>
      <c r="G47" s="1815"/>
      <c r="H47" s="1815"/>
      <c r="I47" s="1815"/>
      <c r="J47" s="1813"/>
      <c r="K47" s="1813"/>
      <c r="L47" s="1819" t="s">
        <v>1048</v>
      </c>
      <c r="M47" s="604">
        <f>14*6</f>
        <v>84</v>
      </c>
      <c r="N47" s="1807" t="s">
        <v>82</v>
      </c>
      <c r="O47" s="1808">
        <v>200000</v>
      </c>
      <c r="P47" s="1808">
        <f>O47*M47</f>
        <v>16800000</v>
      </c>
      <c r="Q47" s="604"/>
      <c r="R47" s="1807"/>
      <c r="S47" s="1808"/>
      <c r="T47" s="1808">
        <f>S47*Q47</f>
        <v>0</v>
      </c>
      <c r="U47" s="812">
        <f t="shared" si="0"/>
        <v>-16800000</v>
      </c>
      <c r="V47" s="761"/>
    </row>
    <row r="48" spans="2:22" x14ac:dyDescent="0.25">
      <c r="B48" s="1730"/>
      <c r="C48" s="1722"/>
      <c r="D48" s="1722"/>
      <c r="E48" s="1731"/>
      <c r="F48" s="1722"/>
      <c r="G48" s="1717"/>
      <c r="H48" s="1717"/>
      <c r="I48" s="1717"/>
      <c r="J48" s="1722"/>
      <c r="K48" s="1722"/>
      <c r="L48" s="1895"/>
      <c r="M48" s="603"/>
      <c r="N48" s="1728"/>
      <c r="O48" s="1811"/>
      <c r="P48" s="1811"/>
      <c r="Q48" s="603"/>
      <c r="R48" s="1728"/>
      <c r="S48" s="1811"/>
      <c r="T48" s="1811"/>
      <c r="U48" s="812">
        <f>SUM(T48)-P48</f>
        <v>0</v>
      </c>
      <c r="V48" s="439" t="e">
        <f>U48/P48*100</f>
        <v>#DIV/0!</v>
      </c>
    </row>
    <row r="49" spans="2:22" x14ac:dyDescent="0.25">
      <c r="B49" s="1730">
        <v>1</v>
      </c>
      <c r="C49" s="1722" t="s">
        <v>444</v>
      </c>
      <c r="D49" s="1722" t="s">
        <v>84</v>
      </c>
      <c r="E49" s="1797">
        <v>15</v>
      </c>
      <c r="F49" s="1797" t="s">
        <v>87</v>
      </c>
      <c r="G49" s="1716">
        <v>5</v>
      </c>
      <c r="H49" s="1716">
        <v>2</v>
      </c>
      <c r="I49" s="1717">
        <v>2</v>
      </c>
      <c r="J49" s="1717"/>
      <c r="K49" s="1717"/>
      <c r="L49" s="1896" t="s">
        <v>64</v>
      </c>
      <c r="M49" s="1094"/>
      <c r="N49" s="1728"/>
      <c r="O49" s="1831"/>
      <c r="P49" s="1881">
        <f>P50+P65+P69</f>
        <v>3564880</v>
      </c>
      <c r="Q49" s="1094"/>
      <c r="R49" s="1728"/>
      <c r="S49" s="1831"/>
      <c r="T49" s="1881">
        <f>T50+T65+T69</f>
        <v>0</v>
      </c>
      <c r="U49" s="812"/>
      <c r="V49" s="439"/>
    </row>
    <row r="50" spans="2:22" x14ac:dyDescent="0.25">
      <c r="B50" s="1730">
        <v>1</v>
      </c>
      <c r="C50" s="1722" t="s">
        <v>444</v>
      </c>
      <c r="D50" s="1722" t="s">
        <v>84</v>
      </c>
      <c r="E50" s="1797">
        <v>15</v>
      </c>
      <c r="F50" s="1797" t="s">
        <v>87</v>
      </c>
      <c r="G50" s="1716">
        <v>5</v>
      </c>
      <c r="H50" s="1716">
        <v>2</v>
      </c>
      <c r="I50" s="1716">
        <v>2</v>
      </c>
      <c r="J50" s="1722" t="s">
        <v>84</v>
      </c>
      <c r="K50" s="1717"/>
      <c r="L50" s="1827" t="s">
        <v>55</v>
      </c>
      <c r="M50" s="1094"/>
      <c r="N50" s="1828"/>
      <c r="O50" s="1829"/>
      <c r="P50" s="1926">
        <f>P52</f>
        <v>789880</v>
      </c>
      <c r="Q50" s="1094"/>
      <c r="R50" s="1828"/>
      <c r="S50" s="1829"/>
      <c r="T50" s="1926">
        <f>T52</f>
        <v>0</v>
      </c>
      <c r="U50" s="812">
        <f>SUM(T50)-P50</f>
        <v>-789880</v>
      </c>
      <c r="V50" s="761"/>
    </row>
    <row r="51" spans="2:22" ht="13.5" customHeight="1" x14ac:dyDescent="0.25">
      <c r="B51" s="1730">
        <v>1</v>
      </c>
      <c r="C51" s="1722" t="s">
        <v>444</v>
      </c>
      <c r="D51" s="1722" t="s">
        <v>84</v>
      </c>
      <c r="E51" s="1797">
        <v>15</v>
      </c>
      <c r="F51" s="1797" t="s">
        <v>87</v>
      </c>
      <c r="G51" s="1716">
        <v>5</v>
      </c>
      <c r="H51" s="1716">
        <v>2</v>
      </c>
      <c r="I51" s="1716">
        <v>2</v>
      </c>
      <c r="J51" s="1722" t="s">
        <v>84</v>
      </c>
      <c r="K51" s="1722" t="s">
        <v>84</v>
      </c>
      <c r="L51" s="1830" t="s">
        <v>70</v>
      </c>
      <c r="M51" s="1094"/>
      <c r="N51" s="1728"/>
      <c r="O51" s="1831"/>
      <c r="P51" s="1927">
        <f>P52</f>
        <v>789880</v>
      </c>
      <c r="Q51" s="1094"/>
      <c r="R51" s="1728"/>
      <c r="S51" s="1831"/>
      <c r="T51" s="1927">
        <f>T52</f>
        <v>0</v>
      </c>
      <c r="U51" s="812">
        <f>SUM(T51)-P51</f>
        <v>-789880</v>
      </c>
      <c r="V51" s="761"/>
    </row>
    <row r="52" spans="2:22" ht="13.5" customHeight="1" x14ac:dyDescent="0.25">
      <c r="B52" s="1730"/>
      <c r="C52" s="1722"/>
      <c r="D52" s="1722"/>
      <c r="E52" s="1731"/>
      <c r="F52" s="1731"/>
      <c r="G52" s="1717"/>
      <c r="H52" s="1717"/>
      <c r="I52" s="1717"/>
      <c r="J52" s="1722"/>
      <c r="K52" s="1722"/>
      <c r="L52" s="1830" t="s">
        <v>1049</v>
      </c>
      <c r="M52" s="1094"/>
      <c r="N52" s="1728"/>
      <c r="O52" s="1831"/>
      <c r="P52" s="1928">
        <f>SUM(P53:P63)</f>
        <v>789880</v>
      </c>
      <c r="Q52" s="1094"/>
      <c r="R52" s="1728"/>
      <c r="S52" s="1831"/>
      <c r="T52" s="1928">
        <f>SUM(T53:T63)</f>
        <v>0</v>
      </c>
      <c r="U52" s="812">
        <f>SUM(T52)-P52</f>
        <v>-789880</v>
      </c>
      <c r="V52" s="761"/>
    </row>
    <row r="53" spans="2:22" ht="13.5" customHeight="1" x14ac:dyDescent="0.25">
      <c r="B53" s="1730"/>
      <c r="C53" s="1722"/>
      <c r="D53" s="1722"/>
      <c r="E53" s="1731"/>
      <c r="F53" s="1731"/>
      <c r="G53" s="1717"/>
      <c r="H53" s="1717"/>
      <c r="I53" s="1717"/>
      <c r="J53" s="1722"/>
      <c r="K53" s="1722"/>
      <c r="L53" s="1897" t="s">
        <v>1050</v>
      </c>
      <c r="M53" s="1094">
        <v>5</v>
      </c>
      <c r="N53" s="1727" t="s">
        <v>89</v>
      </c>
      <c r="O53" s="1841">
        <v>65000</v>
      </c>
      <c r="P53" s="1929">
        <f t="shared" ref="P53:P63" si="1">O53*M53</f>
        <v>325000</v>
      </c>
      <c r="Q53" s="1094"/>
      <c r="R53" s="1727"/>
      <c r="S53" s="1841"/>
      <c r="T53" s="1929">
        <f t="shared" ref="T53:T63" si="2">S53*Q53</f>
        <v>0</v>
      </c>
      <c r="U53" s="812">
        <f>SUM(T53)-P53</f>
        <v>-325000</v>
      </c>
      <c r="V53" s="761"/>
    </row>
    <row r="54" spans="2:22" ht="12" customHeight="1" x14ac:dyDescent="0.25">
      <c r="B54" s="1730"/>
      <c r="C54" s="1722"/>
      <c r="D54" s="1722"/>
      <c r="E54" s="1731"/>
      <c r="F54" s="1731"/>
      <c r="G54" s="1717"/>
      <c r="H54" s="1717"/>
      <c r="I54" s="1717"/>
      <c r="J54" s="1722"/>
      <c r="K54" s="1722"/>
      <c r="L54" s="1849" t="s">
        <v>1051</v>
      </c>
      <c r="M54" s="1094">
        <v>2</v>
      </c>
      <c r="N54" s="1727" t="s">
        <v>577</v>
      </c>
      <c r="O54" s="1841">
        <v>11000</v>
      </c>
      <c r="P54" s="1929">
        <f t="shared" si="1"/>
        <v>22000</v>
      </c>
      <c r="Q54" s="1094"/>
      <c r="R54" s="1727"/>
      <c r="S54" s="1841"/>
      <c r="T54" s="1929">
        <f t="shared" si="2"/>
        <v>0</v>
      </c>
      <c r="U54" s="812">
        <f>SUM(T54)-P54</f>
        <v>-22000</v>
      </c>
      <c r="V54" s="761"/>
    </row>
    <row r="55" spans="2:22" ht="13.5" customHeight="1" x14ac:dyDescent="0.25">
      <c r="B55" s="1730"/>
      <c r="C55" s="1722"/>
      <c r="D55" s="1722"/>
      <c r="E55" s="1731"/>
      <c r="F55" s="1731"/>
      <c r="G55" s="1717"/>
      <c r="H55" s="1717"/>
      <c r="I55" s="1717"/>
      <c r="J55" s="1722"/>
      <c r="K55" s="1722"/>
      <c r="L55" s="1849" t="s">
        <v>1052</v>
      </c>
      <c r="M55" s="1094">
        <v>1</v>
      </c>
      <c r="N55" s="1727" t="s">
        <v>577</v>
      </c>
      <c r="O55" s="1841">
        <v>21000</v>
      </c>
      <c r="P55" s="1929">
        <f t="shared" si="1"/>
        <v>21000</v>
      </c>
      <c r="Q55" s="1094"/>
      <c r="R55" s="1727"/>
      <c r="S55" s="1841"/>
      <c r="T55" s="1929">
        <f t="shared" si="2"/>
        <v>0</v>
      </c>
      <c r="U55" s="812">
        <f t="shared" ref="U55:U56" si="3">SUM(T55)-P55</f>
        <v>-21000</v>
      </c>
      <c r="V55" s="761"/>
    </row>
    <row r="56" spans="2:22" ht="13.5" customHeight="1" x14ac:dyDescent="0.25">
      <c r="B56" s="1730"/>
      <c r="C56" s="1722"/>
      <c r="D56" s="1722"/>
      <c r="E56" s="1731"/>
      <c r="F56" s="1731"/>
      <c r="G56" s="1717"/>
      <c r="H56" s="1717"/>
      <c r="I56" s="1717"/>
      <c r="J56" s="1722"/>
      <c r="K56" s="1722"/>
      <c r="L56" s="1849" t="s">
        <v>1053</v>
      </c>
      <c r="M56" s="1094">
        <v>1</v>
      </c>
      <c r="N56" s="1727" t="s">
        <v>621</v>
      </c>
      <c r="O56" s="1841">
        <v>43000</v>
      </c>
      <c r="P56" s="1929">
        <f t="shared" si="1"/>
        <v>43000</v>
      </c>
      <c r="Q56" s="1094"/>
      <c r="R56" s="1727"/>
      <c r="S56" s="1841"/>
      <c r="T56" s="1929">
        <f t="shared" si="2"/>
        <v>0</v>
      </c>
      <c r="U56" s="812">
        <f t="shared" si="3"/>
        <v>-43000</v>
      </c>
      <c r="V56" s="761"/>
    </row>
    <row r="57" spans="2:22" ht="13.5" customHeight="1" x14ac:dyDescent="0.25">
      <c r="B57" s="1730"/>
      <c r="C57" s="1722"/>
      <c r="D57" s="1722"/>
      <c r="E57" s="1731"/>
      <c r="F57" s="1731"/>
      <c r="G57" s="1717"/>
      <c r="H57" s="1717"/>
      <c r="I57" s="1717"/>
      <c r="J57" s="1722"/>
      <c r="K57" s="1722"/>
      <c r="L57" s="1849" t="s">
        <v>1054</v>
      </c>
      <c r="M57" s="1094">
        <v>3</v>
      </c>
      <c r="N57" s="1727" t="s">
        <v>445</v>
      </c>
      <c r="O57" s="1841">
        <v>36000</v>
      </c>
      <c r="P57" s="1929">
        <f t="shared" si="1"/>
        <v>108000</v>
      </c>
      <c r="Q57" s="1094"/>
      <c r="R57" s="1727"/>
      <c r="S57" s="1841"/>
      <c r="T57" s="1929">
        <f t="shared" si="2"/>
        <v>0</v>
      </c>
      <c r="U57" s="812">
        <f>SUM(T57)-P57</f>
        <v>-108000</v>
      </c>
      <c r="V57" s="761"/>
    </row>
    <row r="58" spans="2:22" ht="12.65" customHeight="1" x14ac:dyDescent="0.25">
      <c r="B58" s="1730"/>
      <c r="C58" s="1722"/>
      <c r="D58" s="1722"/>
      <c r="E58" s="1731"/>
      <c r="F58" s="1731"/>
      <c r="G58" s="1717"/>
      <c r="H58" s="1717"/>
      <c r="I58" s="1717"/>
      <c r="J58" s="1722"/>
      <c r="K58" s="1722"/>
      <c r="L58" s="1849" t="s">
        <v>1055</v>
      </c>
      <c r="M58" s="1094">
        <v>2</v>
      </c>
      <c r="N58" s="1727" t="s">
        <v>445</v>
      </c>
      <c r="O58" s="1841">
        <v>39000</v>
      </c>
      <c r="P58" s="1929">
        <f t="shared" si="1"/>
        <v>78000</v>
      </c>
      <c r="Q58" s="1094"/>
      <c r="R58" s="1727"/>
      <c r="S58" s="1841"/>
      <c r="T58" s="1929">
        <f t="shared" si="2"/>
        <v>0</v>
      </c>
      <c r="U58" s="812">
        <f>SUM(T58)-P58</f>
        <v>-78000</v>
      </c>
      <c r="V58" s="761"/>
    </row>
    <row r="59" spans="2:22" ht="13.5" customHeight="1" x14ac:dyDescent="0.25">
      <c r="B59" s="1730"/>
      <c r="C59" s="1722"/>
      <c r="D59" s="1722"/>
      <c r="E59" s="1731"/>
      <c r="F59" s="1731"/>
      <c r="G59" s="1717"/>
      <c r="H59" s="1717"/>
      <c r="I59" s="1717"/>
      <c r="J59" s="1722"/>
      <c r="K59" s="1722"/>
      <c r="L59" s="1849" t="s">
        <v>1056</v>
      </c>
      <c r="M59" s="1094">
        <v>1</v>
      </c>
      <c r="N59" s="1727" t="s">
        <v>471</v>
      </c>
      <c r="O59" s="1841">
        <v>19000</v>
      </c>
      <c r="P59" s="1929">
        <f t="shared" si="1"/>
        <v>19000</v>
      </c>
      <c r="Q59" s="1094"/>
      <c r="R59" s="1727"/>
      <c r="S59" s="1841"/>
      <c r="T59" s="1929">
        <f t="shared" si="2"/>
        <v>0</v>
      </c>
      <c r="U59" s="812">
        <f>SUM(T59)-P59</f>
        <v>-19000</v>
      </c>
      <c r="V59" s="761"/>
    </row>
    <row r="60" spans="2:22" ht="13.5" customHeight="1" x14ac:dyDescent="0.25">
      <c r="B60" s="1730"/>
      <c r="C60" s="1722"/>
      <c r="D60" s="1722"/>
      <c r="E60" s="1731"/>
      <c r="F60" s="1731"/>
      <c r="G60" s="1717"/>
      <c r="H60" s="1717"/>
      <c r="I60" s="1717"/>
      <c r="J60" s="1722"/>
      <c r="K60" s="1722"/>
      <c r="L60" s="1849" t="s">
        <v>1057</v>
      </c>
      <c r="M60" s="1094">
        <v>1</v>
      </c>
      <c r="N60" s="1727" t="s">
        <v>445</v>
      </c>
      <c r="O60" s="1841">
        <v>34450</v>
      </c>
      <c r="P60" s="1929">
        <f t="shared" si="1"/>
        <v>34450</v>
      </c>
      <c r="Q60" s="1094"/>
      <c r="R60" s="1727"/>
      <c r="S60" s="1841"/>
      <c r="T60" s="1929">
        <f t="shared" si="2"/>
        <v>0</v>
      </c>
      <c r="U60" s="812">
        <f t="shared" ref="U60:U66" si="4">SUM(T60)-P60</f>
        <v>-34450</v>
      </c>
      <c r="V60" s="761"/>
    </row>
    <row r="61" spans="2:22" ht="13.5" customHeight="1" x14ac:dyDescent="0.25">
      <c r="B61" s="1730"/>
      <c r="C61" s="1722"/>
      <c r="D61" s="1722"/>
      <c r="E61" s="1731"/>
      <c r="F61" s="1731"/>
      <c r="G61" s="1717"/>
      <c r="H61" s="1717"/>
      <c r="I61" s="1717"/>
      <c r="J61" s="1722"/>
      <c r="K61" s="1722"/>
      <c r="L61" s="1849" t="s">
        <v>815</v>
      </c>
      <c r="M61" s="1094">
        <v>5</v>
      </c>
      <c r="N61" s="1727" t="s">
        <v>445</v>
      </c>
      <c r="O61" s="1841">
        <v>14000</v>
      </c>
      <c r="P61" s="1929">
        <f t="shared" si="1"/>
        <v>70000</v>
      </c>
      <c r="Q61" s="1094"/>
      <c r="R61" s="1727"/>
      <c r="S61" s="1841"/>
      <c r="T61" s="1929">
        <f t="shared" si="2"/>
        <v>0</v>
      </c>
      <c r="U61" s="812">
        <f t="shared" si="4"/>
        <v>-70000</v>
      </c>
      <c r="V61" s="761"/>
    </row>
    <row r="62" spans="2:22" ht="13.5" customHeight="1" x14ac:dyDescent="0.25">
      <c r="B62" s="1730"/>
      <c r="C62" s="1722"/>
      <c r="D62" s="1722"/>
      <c r="E62" s="1731"/>
      <c r="F62" s="1722"/>
      <c r="G62" s="1717"/>
      <c r="H62" s="1717"/>
      <c r="I62" s="1717"/>
      <c r="J62" s="1717"/>
      <c r="K62" s="1722"/>
      <c r="L62" s="1897" t="s">
        <v>1058</v>
      </c>
      <c r="M62" s="1898">
        <v>2</v>
      </c>
      <c r="N62" s="1899" t="s">
        <v>445</v>
      </c>
      <c r="O62" s="1900">
        <v>20000</v>
      </c>
      <c r="P62" s="1929">
        <f t="shared" si="1"/>
        <v>40000</v>
      </c>
      <c r="Q62" s="1898"/>
      <c r="R62" s="1899"/>
      <c r="S62" s="1900"/>
      <c r="T62" s="1929">
        <f t="shared" si="2"/>
        <v>0</v>
      </c>
      <c r="U62" s="812">
        <f t="shared" si="4"/>
        <v>-40000</v>
      </c>
      <c r="V62" s="761"/>
    </row>
    <row r="63" spans="2:22" ht="13.5" customHeight="1" x14ac:dyDescent="0.25">
      <c r="B63" s="1901"/>
      <c r="C63" s="1902"/>
      <c r="D63" s="1902"/>
      <c r="E63" s="1903"/>
      <c r="F63" s="1902"/>
      <c r="G63" s="1904"/>
      <c r="H63" s="1717"/>
      <c r="I63" s="1717"/>
      <c r="J63" s="1717"/>
      <c r="K63" s="1902"/>
      <c r="L63" s="1897" t="s">
        <v>1059</v>
      </c>
      <c r="M63" s="1898">
        <v>1</v>
      </c>
      <c r="N63" s="1899" t="s">
        <v>621</v>
      </c>
      <c r="O63" s="1900">
        <v>29430</v>
      </c>
      <c r="P63" s="1929">
        <f t="shared" si="1"/>
        <v>29430</v>
      </c>
      <c r="Q63" s="1898"/>
      <c r="R63" s="1899"/>
      <c r="S63" s="1900"/>
      <c r="T63" s="1929">
        <f t="shared" si="2"/>
        <v>0</v>
      </c>
      <c r="U63" s="812">
        <f t="shared" si="4"/>
        <v>-29430</v>
      </c>
      <c r="V63" s="761"/>
    </row>
    <row r="64" spans="2:22" ht="13.5" customHeight="1" x14ac:dyDescent="0.25">
      <c r="B64" s="1901"/>
      <c r="C64" s="1904"/>
      <c r="D64" s="1904"/>
      <c r="E64" s="1904"/>
      <c r="F64" s="1904"/>
      <c r="G64" s="1904"/>
      <c r="H64" s="1716"/>
      <c r="I64" s="1792"/>
      <c r="J64" s="1905"/>
      <c r="K64" s="1902"/>
      <c r="L64" s="1906"/>
      <c r="M64" s="1094"/>
      <c r="N64" s="1727"/>
      <c r="O64" s="1907"/>
      <c r="P64" s="1811"/>
      <c r="Q64" s="1094"/>
      <c r="R64" s="1727"/>
      <c r="S64" s="1907"/>
      <c r="T64" s="1811"/>
      <c r="U64" s="812">
        <f t="shared" si="4"/>
        <v>0</v>
      </c>
      <c r="V64" s="761"/>
    </row>
    <row r="65" spans="2:23" ht="13.5" customHeight="1" x14ac:dyDescent="0.25">
      <c r="B65" s="1730">
        <v>1</v>
      </c>
      <c r="C65" s="1722" t="s">
        <v>444</v>
      </c>
      <c r="D65" s="1722" t="s">
        <v>84</v>
      </c>
      <c r="E65" s="1797">
        <v>15</v>
      </c>
      <c r="F65" s="1797" t="s">
        <v>87</v>
      </c>
      <c r="G65" s="1716">
        <v>5</v>
      </c>
      <c r="H65" s="1716">
        <v>2</v>
      </c>
      <c r="I65" s="1716">
        <v>2</v>
      </c>
      <c r="J65" s="1722" t="s">
        <v>86</v>
      </c>
      <c r="K65" s="1717"/>
      <c r="L65" s="1827" t="s">
        <v>60</v>
      </c>
      <c r="M65" s="1094"/>
      <c r="N65" s="1908"/>
      <c r="O65" s="1828"/>
      <c r="P65" s="1881">
        <f>P66</f>
        <v>525000</v>
      </c>
      <c r="Q65" s="1094"/>
      <c r="R65" s="1908"/>
      <c r="S65" s="1828"/>
      <c r="T65" s="1881">
        <f>T66</f>
        <v>0</v>
      </c>
      <c r="U65" s="812">
        <f t="shared" si="4"/>
        <v>-525000</v>
      </c>
      <c r="V65" s="761"/>
    </row>
    <row r="66" spans="2:23" ht="13.5" customHeight="1" x14ac:dyDescent="0.25">
      <c r="B66" s="1730">
        <v>1</v>
      </c>
      <c r="C66" s="1722" t="s">
        <v>444</v>
      </c>
      <c r="D66" s="1722" t="s">
        <v>84</v>
      </c>
      <c r="E66" s="1797">
        <v>15</v>
      </c>
      <c r="F66" s="1797" t="s">
        <v>87</v>
      </c>
      <c r="G66" s="1716">
        <v>5</v>
      </c>
      <c r="H66" s="1716">
        <v>2</v>
      </c>
      <c r="I66" s="1716">
        <v>2</v>
      </c>
      <c r="J66" s="1722" t="s">
        <v>86</v>
      </c>
      <c r="K66" s="1722" t="s">
        <v>87</v>
      </c>
      <c r="L66" s="1909" t="s">
        <v>65</v>
      </c>
      <c r="M66" s="1094"/>
      <c r="N66" s="1727"/>
      <c r="O66" s="1728"/>
      <c r="P66" s="1811">
        <f>SUM(P67:P67)</f>
        <v>525000</v>
      </c>
      <c r="Q66" s="1094"/>
      <c r="R66" s="1727"/>
      <c r="S66" s="1728"/>
      <c r="T66" s="1811">
        <f>SUM(T67:T67)</f>
        <v>0</v>
      </c>
      <c r="U66" s="812">
        <f t="shared" si="4"/>
        <v>-525000</v>
      </c>
      <c r="V66" s="761"/>
    </row>
    <row r="67" spans="2:23" ht="13.5" customHeight="1" x14ac:dyDescent="0.25">
      <c r="B67" s="1730"/>
      <c r="C67" s="1722"/>
      <c r="D67" s="1722"/>
      <c r="E67" s="1731"/>
      <c r="F67" s="1722"/>
      <c r="G67" s="1717"/>
      <c r="H67" s="1717"/>
      <c r="I67" s="1717"/>
      <c r="J67" s="1717"/>
      <c r="K67" s="1722"/>
      <c r="L67" s="1910" t="s">
        <v>1060</v>
      </c>
      <c r="M67" s="1898">
        <v>1500</v>
      </c>
      <c r="N67" s="1899" t="s">
        <v>58</v>
      </c>
      <c r="O67" s="1900">
        <v>350</v>
      </c>
      <c r="P67" s="1929">
        <f>O67*M67</f>
        <v>525000</v>
      </c>
      <c r="Q67" s="1898"/>
      <c r="R67" s="1899"/>
      <c r="S67" s="1900"/>
      <c r="T67" s="1929">
        <f>S67*Q67</f>
        <v>0</v>
      </c>
      <c r="U67" s="812">
        <f>SUM(T67)-P67</f>
        <v>-525000</v>
      </c>
      <c r="V67" s="761"/>
    </row>
    <row r="68" spans="2:23" ht="13.5" customHeight="1" x14ac:dyDescent="0.25">
      <c r="B68" s="510"/>
      <c r="C68" s="506"/>
      <c r="D68" s="506"/>
      <c r="E68" s="1911"/>
      <c r="F68" s="506"/>
      <c r="G68" s="513"/>
      <c r="H68" s="473"/>
      <c r="I68" s="489"/>
      <c r="J68" s="489"/>
      <c r="K68" s="506"/>
      <c r="L68" s="1912"/>
      <c r="M68" s="859"/>
      <c r="N68" s="499"/>
      <c r="O68" s="477"/>
      <c r="P68" s="1930"/>
      <c r="Q68" s="859"/>
      <c r="R68" s="499"/>
      <c r="S68" s="477"/>
      <c r="T68" s="1930"/>
      <c r="U68" s="812">
        <f>SUM(T68)-P68</f>
        <v>0</v>
      </c>
      <c r="V68" s="761"/>
    </row>
    <row r="69" spans="2:23" ht="13.5" customHeight="1" x14ac:dyDescent="0.25">
      <c r="B69" s="1730">
        <v>1</v>
      </c>
      <c r="C69" s="1722" t="s">
        <v>444</v>
      </c>
      <c r="D69" s="1722" t="s">
        <v>84</v>
      </c>
      <c r="E69" s="1797">
        <v>15</v>
      </c>
      <c r="F69" s="1797" t="s">
        <v>87</v>
      </c>
      <c r="G69" s="473">
        <v>5</v>
      </c>
      <c r="H69" s="473">
        <v>2</v>
      </c>
      <c r="I69" s="473">
        <v>2</v>
      </c>
      <c r="J69" s="487">
        <v>11</v>
      </c>
      <c r="K69" s="489"/>
      <c r="L69" s="1913" t="s">
        <v>187</v>
      </c>
      <c r="M69" s="850"/>
      <c r="N69" s="1914"/>
      <c r="O69" s="1915"/>
      <c r="P69" s="1931">
        <f>P70</f>
        <v>2250000</v>
      </c>
      <c r="Q69" s="850"/>
      <c r="R69" s="1914"/>
      <c r="S69" s="1915"/>
      <c r="T69" s="1931">
        <f>T70</f>
        <v>0</v>
      </c>
      <c r="U69" s="812">
        <f>SUM(T69)-P69</f>
        <v>-2250000</v>
      </c>
      <c r="V69" s="761"/>
    </row>
    <row r="70" spans="2:23" ht="13.5" customHeight="1" x14ac:dyDescent="0.25">
      <c r="B70" s="1730">
        <v>1</v>
      </c>
      <c r="C70" s="1722" t="s">
        <v>444</v>
      </c>
      <c r="D70" s="1722" t="s">
        <v>84</v>
      </c>
      <c r="E70" s="1797">
        <v>15</v>
      </c>
      <c r="F70" s="1797" t="s">
        <v>87</v>
      </c>
      <c r="G70" s="473">
        <v>5</v>
      </c>
      <c r="H70" s="473">
        <v>2</v>
      </c>
      <c r="I70" s="473">
        <v>2</v>
      </c>
      <c r="J70" s="487">
        <v>11</v>
      </c>
      <c r="K70" s="487" t="s">
        <v>87</v>
      </c>
      <c r="L70" s="1916" t="s">
        <v>1061</v>
      </c>
      <c r="M70" s="850"/>
      <c r="N70" s="1917"/>
      <c r="O70" s="1918"/>
      <c r="P70" s="562">
        <f>SUM(P71:P71)</f>
        <v>2250000</v>
      </c>
      <c r="Q70" s="850"/>
      <c r="R70" s="1917"/>
      <c r="S70" s="1918"/>
      <c r="T70" s="562">
        <f>SUM(T71:T71)</f>
        <v>0</v>
      </c>
      <c r="U70" s="812"/>
      <c r="V70" s="761"/>
    </row>
    <row r="71" spans="2:23" ht="13.5" customHeight="1" x14ac:dyDescent="0.25">
      <c r="B71" s="486"/>
      <c r="C71" s="487"/>
      <c r="D71" s="487"/>
      <c r="E71" s="1932"/>
      <c r="F71" s="1932"/>
      <c r="G71" s="489"/>
      <c r="H71" s="473"/>
      <c r="I71" s="489"/>
      <c r="J71" s="487"/>
      <c r="K71" s="487"/>
      <c r="L71" s="1746" t="s">
        <v>1062</v>
      </c>
      <c r="M71" s="1898">
        <f>50*6</f>
        <v>300</v>
      </c>
      <c r="N71" s="686" t="s">
        <v>189</v>
      </c>
      <c r="O71" s="1919">
        <v>7500</v>
      </c>
      <c r="P71" s="1933">
        <f>O71*M71</f>
        <v>2250000</v>
      </c>
      <c r="Q71" s="1898"/>
      <c r="R71" s="686"/>
      <c r="S71" s="1919"/>
      <c r="T71" s="1933">
        <f>S71*Q71</f>
        <v>0</v>
      </c>
      <c r="U71" s="812">
        <f>SUM(T71)-P71</f>
        <v>-2250000</v>
      </c>
      <c r="V71" s="761"/>
    </row>
    <row r="72" spans="2:23" x14ac:dyDescent="0.25">
      <c r="B72" s="663"/>
      <c r="C72" s="814"/>
      <c r="D72" s="814"/>
      <c r="E72" s="815"/>
      <c r="F72" s="815"/>
      <c r="G72" s="816"/>
      <c r="H72" s="816"/>
      <c r="I72" s="664"/>
      <c r="J72" s="814"/>
      <c r="K72" s="814"/>
      <c r="L72" s="965"/>
      <c r="M72" s="966"/>
      <c r="N72" s="966"/>
      <c r="O72" s="967"/>
      <c r="P72" s="968"/>
      <c r="Q72" s="969"/>
      <c r="R72" s="969"/>
      <c r="S72" s="970"/>
      <c r="T72" s="971"/>
      <c r="U72" s="972"/>
      <c r="V72" s="600"/>
    </row>
    <row r="73" spans="2:23" ht="14.5" thickBot="1" x14ac:dyDescent="0.3">
      <c r="B73" s="2730" t="s">
        <v>15</v>
      </c>
      <c r="C73" s="2731"/>
      <c r="D73" s="2731"/>
      <c r="E73" s="2731"/>
      <c r="F73" s="2731"/>
      <c r="G73" s="2731"/>
      <c r="H73" s="2731"/>
      <c r="I73" s="2731"/>
      <c r="J73" s="2731"/>
      <c r="K73" s="2731"/>
      <c r="L73" s="2731"/>
      <c r="M73" s="2731"/>
      <c r="N73" s="2731"/>
      <c r="O73" s="2731"/>
      <c r="P73" s="436">
        <f>P28</f>
        <v>75164880</v>
      </c>
      <c r="Q73" s="2915"/>
      <c r="R73" s="2916"/>
      <c r="S73" s="2917"/>
      <c r="T73" s="437">
        <f>T28</f>
        <v>0</v>
      </c>
      <c r="U73" s="935">
        <f>SUM(U28:U71)</f>
        <v>-392664280</v>
      </c>
      <c r="V73" s="439">
        <f>U73/P73*100</f>
        <v>-522.40392055438656</v>
      </c>
    </row>
    <row r="74" spans="2:23" ht="13" thickTop="1" x14ac:dyDescent="0.25">
      <c r="B74" s="2918"/>
      <c r="C74" s="2919"/>
      <c r="D74" s="2919"/>
      <c r="E74" s="2919"/>
      <c r="F74" s="2919"/>
      <c r="G74" s="2919"/>
      <c r="H74" s="2919"/>
      <c r="I74" s="2919"/>
      <c r="J74" s="2919"/>
      <c r="K74" s="2919"/>
      <c r="L74" s="2919"/>
      <c r="M74" s="2919"/>
      <c r="N74" s="2919"/>
      <c r="O74" s="2919"/>
      <c r="P74" s="2919"/>
      <c r="Q74" s="2919"/>
      <c r="R74" s="2919"/>
      <c r="S74" s="2919"/>
      <c r="T74" s="2919"/>
      <c r="U74" s="2919"/>
      <c r="V74" s="2920"/>
    </row>
    <row r="75" spans="2:23" ht="12.75" customHeight="1" x14ac:dyDescent="0.25">
      <c r="B75" s="466"/>
      <c r="C75" s="468"/>
      <c r="D75" s="468"/>
      <c r="E75" s="468"/>
      <c r="F75" s="468"/>
      <c r="G75" s="468"/>
      <c r="H75" s="468"/>
      <c r="I75" s="468"/>
      <c r="J75" s="468"/>
      <c r="K75" s="468"/>
      <c r="L75" s="396"/>
      <c r="M75" s="344"/>
      <c r="N75" s="344"/>
      <c r="O75" s="344"/>
      <c r="P75" s="344"/>
      <c r="Q75" s="468"/>
      <c r="R75" s="344"/>
      <c r="S75" s="2921" t="str">
        <f>'Pemel PRLTN GDG KTR '!S48:U48</f>
        <v>Banda Aceh,               2020</v>
      </c>
      <c r="T75" s="2921"/>
      <c r="U75" s="2921"/>
      <c r="V75" s="936"/>
      <c r="W75" s="100"/>
    </row>
    <row r="76" spans="2:23" x14ac:dyDescent="0.25">
      <c r="B76" s="466"/>
      <c r="C76" s="468"/>
      <c r="D76" s="468"/>
      <c r="E76" s="468"/>
      <c r="F76" s="468"/>
      <c r="G76" s="468"/>
      <c r="H76" s="468"/>
      <c r="I76" s="468"/>
      <c r="J76" s="468"/>
      <c r="K76" s="468"/>
      <c r="L76" s="371" t="str">
        <f>'Pemel PRLTN GDG KTR '!L49</f>
        <v>Mengesahkan,</v>
      </c>
      <c r="M76" s="344"/>
      <c r="N76" s="344"/>
      <c r="O76" s="344"/>
      <c r="P76" s="344"/>
      <c r="Q76" s="468"/>
      <c r="R76" s="344"/>
      <c r="S76" s="2922" t="str">
        <f>'Pemel PRLTN GDG KTR '!S49:U49</f>
        <v>Pengguna Anggaran</v>
      </c>
      <c r="T76" s="2922"/>
      <c r="U76" s="2922"/>
      <c r="V76" s="397"/>
      <c r="W76" s="22"/>
    </row>
    <row r="77" spans="2:23" ht="12.75" customHeight="1" x14ac:dyDescent="0.25">
      <c r="B77" s="466"/>
      <c r="C77" s="468"/>
      <c r="D77" s="468"/>
      <c r="E77" s="468"/>
      <c r="F77" s="468"/>
      <c r="G77" s="468"/>
      <c r="H77" s="468"/>
      <c r="I77" s="468"/>
      <c r="J77" s="468"/>
      <c r="K77" s="468"/>
      <c r="L77" s="371" t="str">
        <f>'Pemel PRLTN GDG KTR '!L50</f>
        <v>Pejabat Pengelola Keuangan Daerah</v>
      </c>
      <c r="M77" s="344"/>
      <c r="N77" s="344"/>
      <c r="O77" s="344"/>
      <c r="P77" s="344"/>
      <c r="Q77" s="468"/>
      <c r="R77" s="344"/>
      <c r="S77" s="2922" t="str">
        <f>'Pemel PRLTN GDG KTR '!S50:U50</f>
        <v xml:space="preserve"> Satuan Kerja Perangkat Daerah </v>
      </c>
      <c r="T77" s="2922"/>
      <c r="U77" s="2922"/>
      <c r="V77" s="397"/>
      <c r="W77" s="22"/>
    </row>
    <row r="78" spans="2:23" x14ac:dyDescent="0.25">
      <c r="B78" s="466"/>
      <c r="C78" s="468"/>
      <c r="D78" s="468"/>
      <c r="E78" s="468"/>
      <c r="F78" s="468"/>
      <c r="G78" s="468"/>
      <c r="H78" s="468"/>
      <c r="I78" s="468"/>
      <c r="J78" s="468"/>
      <c r="K78" s="468"/>
      <c r="L78" s="394"/>
      <c r="M78" s="344"/>
      <c r="N78" s="344"/>
      <c r="O78" s="344"/>
      <c r="P78" s="344"/>
      <c r="Q78" s="468"/>
      <c r="R78" s="344"/>
      <c r="S78" s="937"/>
      <c r="T78" s="938"/>
      <c r="U78" s="938"/>
      <c r="V78" s="939"/>
      <c r="W78" s="102"/>
    </row>
    <row r="79" spans="2:23" x14ac:dyDescent="0.25">
      <c r="B79" s="466"/>
      <c r="C79" s="468"/>
      <c r="D79" s="468"/>
      <c r="E79" s="468"/>
      <c r="F79" s="468"/>
      <c r="G79" s="468"/>
      <c r="H79" s="468"/>
      <c r="I79" s="468"/>
      <c r="J79" s="468"/>
      <c r="K79" s="468"/>
      <c r="L79" s="394"/>
      <c r="M79" s="344"/>
      <c r="N79" s="344"/>
      <c r="O79" s="344"/>
      <c r="P79" s="344"/>
      <c r="Q79" s="468"/>
      <c r="R79" s="344"/>
      <c r="S79" s="937"/>
      <c r="T79" s="937"/>
      <c r="U79" s="937"/>
      <c r="V79" s="940"/>
      <c r="W79" s="103"/>
    </row>
    <row r="80" spans="2:23" x14ac:dyDescent="0.25">
      <c r="B80" s="466"/>
      <c r="C80" s="468"/>
      <c r="D80" s="468"/>
      <c r="E80" s="468"/>
      <c r="F80" s="468"/>
      <c r="G80" s="468"/>
      <c r="H80" s="468"/>
      <c r="I80" s="468"/>
      <c r="J80" s="468"/>
      <c r="K80" s="468"/>
      <c r="L80" s="941"/>
      <c r="M80" s="344"/>
      <c r="N80" s="344"/>
      <c r="O80" s="344"/>
      <c r="P80" s="344"/>
      <c r="Q80" s="468"/>
      <c r="R80" s="344"/>
      <c r="S80" s="937"/>
      <c r="T80" s="938"/>
      <c r="U80" s="938"/>
      <c r="V80" s="939"/>
      <c r="W80" s="102"/>
    </row>
    <row r="81" spans="2:23" ht="14" x14ac:dyDescent="0.25">
      <c r="B81" s="466"/>
      <c r="C81" s="468"/>
      <c r="D81" s="468"/>
      <c r="E81" s="468"/>
      <c r="F81" s="468"/>
      <c r="G81" s="468"/>
      <c r="H81" s="468"/>
      <c r="I81" s="468"/>
      <c r="J81" s="468"/>
      <c r="K81" s="468"/>
      <c r="L81" s="942" t="str">
        <f>'Pemel PRLTN GDG KTR '!L54</f>
        <v>M. Iqbal Rokan, S.STP.</v>
      </c>
      <c r="M81" s="344"/>
      <c r="N81" s="344"/>
      <c r="O81" s="344"/>
      <c r="P81" s="344"/>
      <c r="Q81" s="468"/>
      <c r="R81" s="344"/>
      <c r="S81" s="2923" t="str">
        <f>'Pemel PRLTN GDG KTR '!S54:U54</f>
        <v>Bustami, SH</v>
      </c>
      <c r="T81" s="2923"/>
      <c r="U81" s="2923"/>
      <c r="V81" s="400"/>
      <c r="W81" s="104"/>
    </row>
    <row r="82" spans="2:23" x14ac:dyDescent="0.25">
      <c r="B82" s="466"/>
      <c r="C82" s="468"/>
      <c r="D82" s="468"/>
      <c r="E82" s="468"/>
      <c r="F82" s="468"/>
      <c r="G82" s="468"/>
      <c r="H82" s="468"/>
      <c r="I82" s="468"/>
      <c r="J82" s="468"/>
      <c r="K82" s="468"/>
      <c r="L82" s="371" t="str">
        <f>'Pemel PRLTN GDG KTR '!L55</f>
        <v>Nip. 19780505 199810 1 001</v>
      </c>
      <c r="M82" s="344"/>
      <c r="N82" s="344"/>
      <c r="O82" s="344"/>
      <c r="P82" s="344"/>
      <c r="Q82" s="468"/>
      <c r="R82" s="344"/>
      <c r="S82" s="2922" t="str">
        <f>'Pemel PRLTN GDG KTR '!S55:U55</f>
        <v>Pembina Utama Muda / Nip. 196308241987031004</v>
      </c>
      <c r="T82" s="2922"/>
      <c r="U82" s="2922"/>
      <c r="V82" s="397"/>
      <c r="W82" s="22"/>
    </row>
    <row r="83" spans="2:23" x14ac:dyDescent="0.25">
      <c r="B83" s="466"/>
      <c r="C83" s="468"/>
      <c r="D83" s="468"/>
      <c r="E83" s="468"/>
      <c r="F83" s="468"/>
      <c r="G83" s="468"/>
      <c r="H83" s="468"/>
      <c r="I83" s="468"/>
      <c r="J83" s="468"/>
      <c r="K83" s="468"/>
      <c r="L83" s="371"/>
      <c r="M83" s="344"/>
      <c r="N83" s="344"/>
      <c r="O83" s="344"/>
      <c r="P83" s="344"/>
      <c r="Q83" s="468"/>
      <c r="R83" s="344"/>
      <c r="S83" s="371"/>
      <c r="T83" s="371"/>
      <c r="U83" s="371"/>
      <c r="V83" s="943"/>
      <c r="W83" s="21"/>
    </row>
    <row r="84" spans="2:23" ht="14.25" customHeight="1" x14ac:dyDescent="0.25">
      <c r="B84" s="2705" t="s">
        <v>286</v>
      </c>
      <c r="C84" s="2706"/>
      <c r="D84" s="2706"/>
      <c r="E84" s="2706"/>
      <c r="F84" s="2706"/>
      <c r="G84" s="2706"/>
      <c r="H84" s="2706"/>
      <c r="I84" s="2706"/>
      <c r="J84" s="2706"/>
      <c r="K84" s="2706"/>
      <c r="L84" s="2706"/>
      <c r="M84" s="2707" t="s">
        <v>145</v>
      </c>
      <c r="N84" s="2708"/>
      <c r="O84" s="2708"/>
      <c r="P84" s="2708"/>
      <c r="Q84" s="2708"/>
      <c r="R84" s="2708"/>
      <c r="S84" s="2708"/>
      <c r="T84" s="2708"/>
      <c r="U84" s="2708"/>
      <c r="V84" s="2709"/>
    </row>
    <row r="85" spans="2:23" ht="14.25" customHeight="1" x14ac:dyDescent="0.25">
      <c r="B85" s="2893"/>
      <c r="C85" s="2894"/>
      <c r="D85" s="2894"/>
      <c r="E85" s="2894"/>
      <c r="F85" s="2894"/>
      <c r="G85" s="2894"/>
      <c r="H85" s="2894"/>
      <c r="I85" s="2894"/>
      <c r="J85" s="2894"/>
      <c r="K85" s="2894"/>
      <c r="L85" s="2895"/>
      <c r="M85" s="418" t="s">
        <v>142</v>
      </c>
      <c r="N85" s="2747"/>
      <c r="O85" s="2747"/>
      <c r="P85" s="2747"/>
      <c r="Q85" s="2746" t="s">
        <v>143</v>
      </c>
      <c r="R85" s="2746"/>
      <c r="S85" s="2746"/>
      <c r="T85" s="417" t="s">
        <v>144</v>
      </c>
      <c r="U85" s="2746" t="s">
        <v>146</v>
      </c>
      <c r="V85" s="2748"/>
    </row>
    <row r="86" spans="2:23" ht="14.25" customHeight="1" x14ac:dyDescent="0.25">
      <c r="B86" s="2907" t="s">
        <v>293</v>
      </c>
      <c r="C86" s="2908"/>
      <c r="D86" s="2908"/>
      <c r="E86" s="2908"/>
      <c r="F86" s="2908"/>
      <c r="G86" s="2908"/>
      <c r="H86" s="2908"/>
      <c r="I86" s="2908"/>
      <c r="J86" s="2908"/>
      <c r="K86" s="2908"/>
      <c r="L86" s="944">
        <v>0</v>
      </c>
      <c r="M86" s="945">
        <v>1</v>
      </c>
      <c r="N86" s="2896" t="str">
        <f>'Pemel PRLTN GDG KTR '!N59:P59</f>
        <v>Weri, SE. MA</v>
      </c>
      <c r="O86" s="2897"/>
      <c r="P86" s="2897"/>
      <c r="Q86" s="2898" t="str">
        <f>'Pemel PRLTN GDG KTR '!Q59:S59</f>
        <v>19640525 198903 1 026</v>
      </c>
      <c r="R86" s="2563"/>
      <c r="S86" s="2564"/>
      <c r="T86" s="946" t="s">
        <v>302</v>
      </c>
      <c r="U86" s="947" t="s">
        <v>287</v>
      </c>
      <c r="V86" s="451"/>
    </row>
    <row r="87" spans="2:23" ht="14" x14ac:dyDescent="0.25">
      <c r="B87" s="2907" t="s">
        <v>294</v>
      </c>
      <c r="C87" s="2908"/>
      <c r="D87" s="2908"/>
      <c r="E87" s="2908"/>
      <c r="F87" s="2908"/>
      <c r="G87" s="2908"/>
      <c r="H87" s="2908"/>
      <c r="I87" s="2908"/>
      <c r="J87" s="2908"/>
      <c r="K87" s="2908"/>
      <c r="L87" s="944">
        <v>0</v>
      </c>
      <c r="M87" s="945">
        <v>2</v>
      </c>
      <c r="N87" s="2909" t="str">
        <f>'Pemel PRLTN GDG KTR '!N60:P60</f>
        <v>Azmi, SH</v>
      </c>
      <c r="O87" s="2706"/>
      <c r="P87" s="2706"/>
      <c r="Q87" s="2898" t="str">
        <f>'Pemel PRLTN GDG KTR '!Q60:S60</f>
        <v>19680824 199903 1 004</v>
      </c>
      <c r="R87" s="2563"/>
      <c r="S87" s="2564"/>
      <c r="T87" s="946" t="s">
        <v>303</v>
      </c>
      <c r="U87" s="450"/>
      <c r="V87" s="948" t="s">
        <v>128</v>
      </c>
    </row>
    <row r="88" spans="2:23" ht="14" x14ac:dyDescent="0.25">
      <c r="B88" s="2907" t="s">
        <v>295</v>
      </c>
      <c r="C88" s="2908"/>
      <c r="D88" s="2908"/>
      <c r="E88" s="2908"/>
      <c r="F88" s="2908"/>
      <c r="G88" s="2908"/>
      <c r="H88" s="2908"/>
      <c r="I88" s="2908"/>
      <c r="J88" s="2908"/>
      <c r="K88" s="2908"/>
      <c r="L88" s="944">
        <v>0</v>
      </c>
      <c r="M88" s="949">
        <v>3</v>
      </c>
      <c r="N88" s="2909" t="str">
        <f>'Pemel PRLTN GDG KTR '!N61:P61</f>
        <v>Muhammad Syaifuddin Ambia, ST, MT</v>
      </c>
      <c r="O88" s="2706"/>
      <c r="P88" s="2706"/>
      <c r="Q88" s="2898" t="str">
        <f>'Pemel PRLTN GDG KTR '!Q61:S61</f>
        <v>19741010 200604 1 003</v>
      </c>
      <c r="R88" s="2563"/>
      <c r="S88" s="2564"/>
      <c r="T88" s="946" t="s">
        <v>304</v>
      </c>
      <c r="U88" s="950" t="s">
        <v>292</v>
      </c>
      <c r="V88" s="451"/>
    </row>
    <row r="89" spans="2:23" ht="15" customHeight="1" x14ac:dyDescent="0.25">
      <c r="B89" s="2907" t="s">
        <v>296</v>
      </c>
      <c r="C89" s="2908"/>
      <c r="D89" s="2908"/>
      <c r="E89" s="2908"/>
      <c r="F89" s="2908"/>
      <c r="G89" s="2908"/>
      <c r="H89" s="2908"/>
      <c r="I89" s="2908"/>
      <c r="J89" s="2908"/>
      <c r="K89" s="2908"/>
      <c r="L89" s="944">
        <v>0</v>
      </c>
      <c r="M89" s="945">
        <v>4</v>
      </c>
      <c r="N89" s="2909" t="str">
        <f>'Pemel PRLTN GDG KTR '!N62:P62</f>
        <v>Basri, SE, M.Si</v>
      </c>
      <c r="O89" s="2706"/>
      <c r="P89" s="2706"/>
      <c r="Q89" s="2898" t="str">
        <f>'Pemel PRLTN GDG KTR '!Q62:S62</f>
        <v>19691213 199403 1 002</v>
      </c>
      <c r="R89" s="2563"/>
      <c r="S89" s="2564"/>
      <c r="T89" s="946" t="s">
        <v>305</v>
      </c>
      <c r="U89" s="450"/>
      <c r="V89" s="948" t="s">
        <v>288</v>
      </c>
    </row>
    <row r="90" spans="2:23" ht="14" x14ac:dyDescent="0.25">
      <c r="B90" s="2907" t="s">
        <v>297</v>
      </c>
      <c r="C90" s="2908"/>
      <c r="D90" s="2908"/>
      <c r="E90" s="2908"/>
      <c r="F90" s="2908"/>
      <c r="G90" s="2908"/>
      <c r="H90" s="2908"/>
      <c r="I90" s="2908"/>
      <c r="J90" s="2908"/>
      <c r="K90" s="2908"/>
      <c r="L90" s="951">
        <f>SUM(L86:L89)</f>
        <v>0</v>
      </c>
      <c r="M90" s="952">
        <v>5</v>
      </c>
      <c r="N90" s="2909" t="str">
        <f>'Pemel PRLTN GDG KTR '!N63:P63</f>
        <v>Dewi Shinta Reza, SE. Ak</v>
      </c>
      <c r="O90" s="2706"/>
      <c r="P90" s="2706"/>
      <c r="Q90" s="2898" t="str">
        <f>'Pemel PRLTN GDG KTR '!Q63:S63</f>
        <v>19750630 200212 2 003</v>
      </c>
      <c r="R90" s="2563"/>
      <c r="S90" s="2564"/>
      <c r="T90" s="946" t="s">
        <v>306</v>
      </c>
      <c r="U90" s="950" t="s">
        <v>289</v>
      </c>
      <c r="V90" s="451"/>
    </row>
    <row r="91" spans="2:23" ht="13.5" customHeight="1" x14ac:dyDescent="0.25">
      <c r="B91" s="2893"/>
      <c r="C91" s="2894"/>
      <c r="D91" s="2894"/>
      <c r="E91" s="2894"/>
      <c r="F91" s="2894"/>
      <c r="G91" s="2894"/>
      <c r="H91" s="2894"/>
      <c r="I91" s="2894"/>
      <c r="J91" s="2894"/>
      <c r="K91" s="2894"/>
      <c r="L91" s="2895"/>
      <c r="M91" s="952">
        <v>6</v>
      </c>
      <c r="N91" s="2896" t="str">
        <f>'Pemel PRLTN GDG KTR '!N64:P64</f>
        <v>Harisman, S.STP, M.Ec.Dev</v>
      </c>
      <c r="O91" s="2897"/>
      <c r="P91" s="2897"/>
      <c r="Q91" s="2898" t="str">
        <f>'Pemel PRLTN GDG KTR '!Q64:S64</f>
        <v>19830101 200112 1 003</v>
      </c>
      <c r="R91" s="2563"/>
      <c r="S91" s="2564"/>
      <c r="T91" s="946" t="s">
        <v>307</v>
      </c>
      <c r="U91" s="450"/>
      <c r="V91" s="948" t="s">
        <v>290</v>
      </c>
    </row>
    <row r="92" spans="2:23" ht="14.5" thickBot="1" x14ac:dyDescent="0.3">
      <c r="B92" s="2899"/>
      <c r="C92" s="2900"/>
      <c r="D92" s="2900"/>
      <c r="E92" s="2900"/>
      <c r="F92" s="2900"/>
      <c r="G92" s="2900"/>
      <c r="H92" s="2900"/>
      <c r="I92" s="2900"/>
      <c r="J92" s="2900"/>
      <c r="K92" s="2900"/>
      <c r="L92" s="2901"/>
      <c r="M92" s="953">
        <v>7</v>
      </c>
      <c r="N92" s="2902" t="str">
        <f>'Pemel PRLTN GDG KTR '!N65:P65</f>
        <v>Alriandi, S.STP, M.Si</v>
      </c>
      <c r="O92" s="2903"/>
      <c r="P92" s="2903"/>
      <c r="Q92" s="2904" t="str">
        <f>'Pemel PRLTN GDG KTR '!Q65:S65</f>
        <v>19830308 200112 1 001</v>
      </c>
      <c r="R92" s="2905"/>
      <c r="S92" s="2906"/>
      <c r="T92" s="954" t="s">
        <v>308</v>
      </c>
      <c r="U92" s="955" t="s">
        <v>291</v>
      </c>
      <c r="V92" s="956"/>
    </row>
    <row r="93" spans="2:23" ht="13" thickTop="1" x14ac:dyDescent="0.25">
      <c r="B93" s="342"/>
      <c r="C93" s="342"/>
      <c r="D93" s="342"/>
      <c r="E93" s="342"/>
      <c r="F93" s="342"/>
      <c r="G93" s="342"/>
      <c r="H93" s="342"/>
      <c r="I93" s="342"/>
      <c r="J93" s="342"/>
      <c r="K93" s="342"/>
      <c r="L93" s="342"/>
      <c r="M93" s="342"/>
      <c r="N93" s="342"/>
      <c r="O93" s="342"/>
      <c r="P93" s="342"/>
    </row>
    <row r="94" spans="2:23" x14ac:dyDescent="0.25">
      <c r="B94" s="342"/>
      <c r="C94" s="342"/>
      <c r="D94" s="342"/>
      <c r="E94" s="342"/>
      <c r="F94" s="342"/>
      <c r="G94" s="342"/>
      <c r="H94" s="342"/>
      <c r="I94" s="342"/>
      <c r="J94" s="342"/>
      <c r="K94" s="342"/>
      <c r="L94" s="342"/>
      <c r="M94" s="342"/>
      <c r="N94" s="342"/>
      <c r="O94" s="342"/>
      <c r="P94" s="342"/>
    </row>
    <row r="95" spans="2:23" x14ac:dyDescent="0.25">
      <c r="B95" s="342"/>
      <c r="C95" s="342"/>
      <c r="D95" s="342"/>
      <c r="E95" s="342"/>
      <c r="F95" s="342"/>
      <c r="G95" s="342"/>
      <c r="H95" s="342"/>
      <c r="I95" s="342"/>
      <c r="J95" s="342"/>
      <c r="K95" s="342"/>
      <c r="L95" s="342"/>
      <c r="M95" s="342"/>
      <c r="N95" s="342"/>
      <c r="O95" s="342"/>
      <c r="P95" s="342"/>
    </row>
    <row r="96" spans="2:23" x14ac:dyDescent="0.25">
      <c r="B96" s="342"/>
      <c r="C96" s="342"/>
      <c r="D96" s="342"/>
      <c r="E96" s="342"/>
      <c r="F96" s="342"/>
      <c r="G96" s="342"/>
      <c r="H96" s="342"/>
      <c r="I96" s="342"/>
      <c r="J96" s="342"/>
      <c r="K96" s="342"/>
      <c r="L96" s="342"/>
      <c r="M96" s="342"/>
      <c r="N96" s="342"/>
      <c r="O96" s="342"/>
      <c r="P96" s="342"/>
    </row>
    <row r="97" spans="2:16" x14ac:dyDescent="0.25">
      <c r="B97" s="342"/>
      <c r="C97" s="342"/>
      <c r="D97" s="342"/>
      <c r="E97" s="342"/>
      <c r="F97" s="342"/>
      <c r="G97" s="342"/>
      <c r="H97" s="342"/>
      <c r="I97" s="342"/>
      <c r="J97" s="342"/>
      <c r="K97" s="342"/>
      <c r="L97" s="342"/>
      <c r="M97" s="342"/>
      <c r="N97" s="342"/>
      <c r="O97" s="342"/>
      <c r="P97" s="342"/>
    </row>
    <row r="98" spans="2:16" x14ac:dyDescent="0.25">
      <c r="B98" s="342"/>
      <c r="C98" s="342"/>
      <c r="D98" s="342"/>
      <c r="E98" s="342"/>
      <c r="F98" s="342"/>
      <c r="G98" s="342"/>
      <c r="H98" s="342"/>
      <c r="I98" s="342"/>
      <c r="J98" s="342"/>
      <c r="K98" s="342"/>
      <c r="L98" s="342"/>
      <c r="M98" s="342"/>
      <c r="N98" s="342"/>
      <c r="O98" s="342"/>
      <c r="P98" s="342"/>
    </row>
    <row r="99" spans="2:16" x14ac:dyDescent="0.25">
      <c r="B99" s="342"/>
      <c r="C99" s="342"/>
      <c r="D99" s="342"/>
      <c r="E99" s="342"/>
      <c r="F99" s="342"/>
      <c r="G99" s="342"/>
      <c r="H99" s="342"/>
      <c r="I99" s="342"/>
      <c r="J99" s="342"/>
      <c r="K99" s="342"/>
      <c r="L99" s="342"/>
      <c r="M99" s="342"/>
      <c r="N99" s="342"/>
      <c r="O99" s="342"/>
      <c r="P99" s="342"/>
    </row>
    <row r="100" spans="2:16" x14ac:dyDescent="0.25">
      <c r="B100" s="342"/>
      <c r="C100" s="342"/>
      <c r="D100" s="342"/>
      <c r="E100" s="342"/>
      <c r="F100" s="342"/>
      <c r="G100" s="342"/>
      <c r="H100" s="342"/>
      <c r="I100" s="342"/>
      <c r="J100" s="342"/>
      <c r="K100" s="342"/>
      <c r="L100" s="342"/>
      <c r="M100" s="342"/>
      <c r="N100" s="342"/>
      <c r="O100" s="342"/>
      <c r="P100" s="342"/>
    </row>
    <row r="101" spans="2:16" x14ac:dyDescent="0.25">
      <c r="B101" s="342"/>
      <c r="C101" s="342"/>
      <c r="D101" s="342"/>
      <c r="E101" s="342"/>
      <c r="F101" s="342"/>
      <c r="G101" s="342"/>
      <c r="H101" s="342"/>
      <c r="I101" s="342"/>
      <c r="J101" s="342"/>
      <c r="K101" s="342"/>
      <c r="L101" s="342"/>
      <c r="M101" s="342"/>
      <c r="N101" s="342"/>
      <c r="O101" s="342"/>
      <c r="P101" s="342"/>
    </row>
    <row r="102" spans="2:16" x14ac:dyDescent="0.25">
      <c r="B102" s="342"/>
      <c r="C102" s="342"/>
      <c r="D102" s="342"/>
      <c r="E102" s="342"/>
      <c r="F102" s="342"/>
      <c r="G102" s="342"/>
      <c r="H102" s="342"/>
      <c r="I102" s="342"/>
      <c r="J102" s="342"/>
      <c r="K102" s="342"/>
      <c r="L102" s="342"/>
      <c r="M102" s="342"/>
      <c r="N102" s="342"/>
      <c r="O102" s="342"/>
      <c r="P102" s="342"/>
    </row>
    <row r="103" spans="2:16" x14ac:dyDescent="0.25">
      <c r="B103" s="342"/>
      <c r="C103" s="342"/>
      <c r="D103" s="342"/>
      <c r="E103" s="342"/>
      <c r="F103" s="342"/>
      <c r="G103" s="342"/>
      <c r="H103" s="342"/>
      <c r="I103" s="342"/>
      <c r="J103" s="342"/>
      <c r="K103" s="342"/>
      <c r="L103" s="342"/>
      <c r="M103" s="342"/>
      <c r="N103" s="342"/>
      <c r="O103" s="342"/>
      <c r="P103" s="342"/>
    </row>
    <row r="104" spans="2:16" x14ac:dyDescent="0.25">
      <c r="B104" s="342"/>
      <c r="C104" s="342"/>
      <c r="D104" s="342"/>
      <c r="E104" s="342"/>
      <c r="F104" s="342"/>
      <c r="G104" s="342"/>
      <c r="H104" s="342"/>
      <c r="I104" s="342"/>
      <c r="J104" s="342"/>
      <c r="K104" s="342"/>
      <c r="L104" s="342"/>
      <c r="M104" s="342"/>
      <c r="N104" s="342"/>
      <c r="O104" s="342"/>
      <c r="P104" s="342"/>
    </row>
    <row r="105" spans="2:16" x14ac:dyDescent="0.25">
      <c r="B105" s="342"/>
      <c r="C105" s="342"/>
      <c r="D105" s="342"/>
      <c r="E105" s="342"/>
      <c r="F105" s="342"/>
      <c r="G105" s="342"/>
      <c r="H105" s="342"/>
      <c r="I105" s="342"/>
      <c r="J105" s="342"/>
      <c r="K105" s="342"/>
      <c r="L105" s="342"/>
      <c r="M105" s="342"/>
      <c r="N105" s="342"/>
      <c r="O105" s="342"/>
      <c r="P105" s="342"/>
    </row>
    <row r="106" spans="2:16" x14ac:dyDescent="0.25">
      <c r="B106" s="342"/>
      <c r="C106" s="342"/>
      <c r="D106" s="342"/>
      <c r="E106" s="342"/>
      <c r="F106" s="342"/>
      <c r="G106" s="342"/>
      <c r="H106" s="342"/>
      <c r="I106" s="342"/>
      <c r="J106" s="342"/>
      <c r="K106" s="342"/>
      <c r="L106" s="342"/>
      <c r="M106" s="342"/>
      <c r="N106" s="342"/>
      <c r="O106" s="342"/>
      <c r="P106" s="342"/>
    </row>
    <row r="107" spans="2:16" x14ac:dyDescent="0.25">
      <c r="B107" s="342"/>
      <c r="C107" s="342"/>
      <c r="D107" s="342"/>
      <c r="E107" s="342"/>
      <c r="F107" s="342"/>
      <c r="G107" s="342"/>
      <c r="H107" s="342"/>
      <c r="I107" s="342"/>
      <c r="J107" s="342"/>
      <c r="K107" s="342"/>
      <c r="L107" s="342"/>
      <c r="M107" s="342"/>
      <c r="N107" s="342"/>
      <c r="O107" s="342"/>
      <c r="P107" s="342"/>
    </row>
    <row r="108" spans="2:16" x14ac:dyDescent="0.25">
      <c r="B108" s="342"/>
      <c r="C108" s="342"/>
      <c r="D108" s="342"/>
      <c r="E108" s="342"/>
      <c r="F108" s="342"/>
      <c r="G108" s="342"/>
      <c r="H108" s="342"/>
      <c r="I108" s="342"/>
      <c r="J108" s="342"/>
      <c r="K108" s="342"/>
      <c r="L108" s="342"/>
      <c r="M108" s="342"/>
      <c r="N108" s="342"/>
      <c r="O108" s="342"/>
      <c r="P108" s="342"/>
    </row>
    <row r="109" spans="2:16" x14ac:dyDescent="0.25">
      <c r="B109" s="342"/>
      <c r="C109" s="342"/>
      <c r="D109" s="342"/>
      <c r="E109" s="342"/>
      <c r="F109" s="342"/>
      <c r="G109" s="342"/>
      <c r="H109" s="342"/>
      <c r="I109" s="342"/>
      <c r="J109" s="342"/>
      <c r="K109" s="342"/>
      <c r="L109" s="342"/>
      <c r="M109" s="342"/>
      <c r="N109" s="342"/>
      <c r="O109" s="342"/>
      <c r="P109"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84:L84"/>
    <mergeCell ref="M84:V84"/>
    <mergeCell ref="B27:K27"/>
    <mergeCell ref="B73:O73"/>
    <mergeCell ref="Q73:S73"/>
    <mergeCell ref="B74:V74"/>
    <mergeCell ref="S75:U75"/>
    <mergeCell ref="S76:U76"/>
    <mergeCell ref="S77:U77"/>
    <mergeCell ref="S81:U81"/>
    <mergeCell ref="S82:U82"/>
    <mergeCell ref="B85:L85"/>
    <mergeCell ref="N85:P85"/>
    <mergeCell ref="Q85:S85"/>
    <mergeCell ref="U85:V85"/>
    <mergeCell ref="B86:K86"/>
    <mergeCell ref="N86:P86"/>
    <mergeCell ref="Q86:S86"/>
    <mergeCell ref="B87:K87"/>
    <mergeCell ref="N87:P87"/>
    <mergeCell ref="Q87:S87"/>
    <mergeCell ref="B88:K88"/>
    <mergeCell ref="N88:P88"/>
    <mergeCell ref="Q88:S88"/>
    <mergeCell ref="B89:K89"/>
    <mergeCell ref="N89:P89"/>
    <mergeCell ref="Q89:S89"/>
    <mergeCell ref="B90:K90"/>
    <mergeCell ref="N90:P90"/>
    <mergeCell ref="Q90:S90"/>
    <mergeCell ref="B91:L91"/>
    <mergeCell ref="N91:P91"/>
    <mergeCell ref="Q91:S91"/>
    <mergeCell ref="B92:L92"/>
    <mergeCell ref="N92:P92"/>
    <mergeCell ref="Q92:S92"/>
  </mergeCells>
  <pageMargins left="0.511811023622047" right="1.0255905510000001" top="0.511811023622047" bottom="0.47244094488188998" header="0.31496062992126" footer="0.31496062992126"/>
  <pageSetup paperSize="5" scale="65" orientation="landscape" horizontalDpi="4294967293" verticalDpi="4294967293" r:id="rId1"/>
  <rowBreaks count="1" manualBreakCount="1">
    <brk id="48" min="1" max="21"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100"/>
  <sheetViews>
    <sheetView view="pageBreakPreview" topLeftCell="A44" zoomScale="73" zoomScaleNormal="60" zoomScaleSheetLayoutView="70" workbookViewId="0">
      <selection activeCell="M9" sqref="M9:V9"/>
    </sheetView>
  </sheetViews>
  <sheetFormatPr defaultColWidth="8.7265625" defaultRowHeight="12.5" x14ac:dyDescent="0.25"/>
  <cols>
    <col min="1" max="1" width="4.542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1.54296875" style="341" customWidth="1"/>
    <col min="17" max="17" width="9" style="341" customWidth="1"/>
    <col min="18" max="18" width="8" style="341" customWidth="1"/>
    <col min="19" max="19" width="15.1796875" style="341" customWidth="1"/>
    <col min="20" max="20" width="22.4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313</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'Statistik Forum Data'!B5:V5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591"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592"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598" t="s">
        <v>148</v>
      </c>
      <c r="M8" s="2862" t="s">
        <v>279</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1063</v>
      </c>
      <c r="M9" s="2866" t="s">
        <v>1064</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'Statistik Forum Data'!M10:V10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90</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586" t="s">
        <v>270</v>
      </c>
      <c r="M15" s="2859" t="s">
        <v>281</v>
      </c>
      <c r="N15" s="2851"/>
      <c r="O15" s="2851"/>
      <c r="P15" s="2860"/>
      <c r="Q15" s="2713" t="s">
        <v>270</v>
      </c>
      <c r="R15" s="2713"/>
      <c r="S15" s="2713"/>
      <c r="T15" s="2713" t="s">
        <v>281</v>
      </c>
      <c r="U15" s="2713"/>
      <c r="V15" s="2861"/>
      <c r="W15" s="520"/>
    </row>
    <row r="16" spans="2:24" ht="40.5" customHeight="1" x14ac:dyDescent="0.25">
      <c r="B16" s="2834" t="s">
        <v>14</v>
      </c>
      <c r="C16" s="2835"/>
      <c r="D16" s="2835"/>
      <c r="E16" s="2835"/>
      <c r="F16" s="2835"/>
      <c r="G16" s="2835"/>
      <c r="H16" s="2835"/>
      <c r="I16" s="2835"/>
      <c r="J16" s="2835"/>
      <c r="K16" s="2836"/>
      <c r="L16" s="811" t="s">
        <v>452</v>
      </c>
      <c r="M16" s="2507" t="s">
        <v>508</v>
      </c>
      <c r="N16" s="2508"/>
      <c r="O16" s="2508"/>
      <c r="P16" s="2886"/>
      <c r="Q16" s="2830">
        <v>1</v>
      </c>
      <c r="R16" s="2616"/>
      <c r="S16" s="2616"/>
      <c r="T16" s="2831">
        <v>1</v>
      </c>
      <c r="U16" s="2832"/>
      <c r="V16" s="2833"/>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34771790</v>
      </c>
      <c r="R17" s="2840"/>
      <c r="S17" s="2841"/>
      <c r="T17" s="2842">
        <f>T28</f>
        <v>0</v>
      </c>
      <c r="U17" s="2842"/>
      <c r="V17" s="2843"/>
    </row>
    <row r="18" spans="2:22" ht="14" x14ac:dyDescent="0.25">
      <c r="B18" s="2834" t="s">
        <v>136</v>
      </c>
      <c r="C18" s="2835"/>
      <c r="D18" s="2835"/>
      <c r="E18" s="2835"/>
      <c r="F18" s="2835"/>
      <c r="G18" s="2835"/>
      <c r="H18" s="2835"/>
      <c r="I18" s="2835"/>
      <c r="J18" s="2835"/>
      <c r="K18" s="2836"/>
      <c r="L18" s="524" t="s">
        <v>1065</v>
      </c>
      <c r="M18" s="2820" t="s">
        <v>1065</v>
      </c>
      <c r="N18" s="2820"/>
      <c r="O18" s="2820"/>
      <c r="P18" s="2820"/>
      <c r="Q18" s="2616" t="s">
        <v>1066</v>
      </c>
      <c r="R18" s="2616"/>
      <c r="S18" s="2616"/>
      <c r="T18" s="2616" t="s">
        <v>1066</v>
      </c>
      <c r="U18" s="2616"/>
      <c r="V18" s="2837"/>
    </row>
    <row r="19" spans="2:22" ht="25" x14ac:dyDescent="0.25">
      <c r="B19" s="2834" t="s">
        <v>137</v>
      </c>
      <c r="C19" s="2835"/>
      <c r="D19" s="2835"/>
      <c r="E19" s="2835"/>
      <c r="F19" s="2835"/>
      <c r="G19" s="2835"/>
      <c r="H19" s="2835"/>
      <c r="I19" s="2835"/>
      <c r="J19" s="2835"/>
      <c r="K19" s="2836"/>
      <c r="L19" s="524" t="s">
        <v>525</v>
      </c>
      <c r="M19" s="2875" t="s">
        <v>525</v>
      </c>
      <c r="N19" s="2875"/>
      <c r="O19" s="2875"/>
      <c r="P19" s="2875"/>
      <c r="Q19" s="2830">
        <v>0.94</v>
      </c>
      <c r="R19" s="2616"/>
      <c r="S19" s="2616"/>
      <c r="T19" s="2830">
        <v>0.94</v>
      </c>
      <c r="U19" s="2616"/>
      <c r="V19" s="2837"/>
    </row>
    <row r="20" spans="2:22" ht="14.25" customHeight="1" x14ac:dyDescent="0.3">
      <c r="B20" s="2824" t="s">
        <v>451</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1596"/>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589" t="s">
        <v>7</v>
      </c>
      <c r="Q27" s="147">
        <v>7</v>
      </c>
      <c r="R27" s="147">
        <v>8</v>
      </c>
      <c r="S27" s="86">
        <v>9</v>
      </c>
      <c r="T27" s="90" t="s">
        <v>275</v>
      </c>
      <c r="U27" s="92" t="s">
        <v>274</v>
      </c>
      <c r="V27" s="93">
        <v>12</v>
      </c>
    </row>
    <row r="28" spans="2:22" ht="13" thickTop="1" x14ac:dyDescent="0.25">
      <c r="B28" s="1934">
        <v>1</v>
      </c>
      <c r="C28" s="1935" t="s">
        <v>239</v>
      </c>
      <c r="D28" s="1935" t="s">
        <v>84</v>
      </c>
      <c r="E28" s="1936"/>
      <c r="F28" s="1376"/>
      <c r="G28" s="601">
        <v>5</v>
      </c>
      <c r="H28" s="601">
        <v>2</v>
      </c>
      <c r="I28" s="1923"/>
      <c r="J28" s="1937"/>
      <c r="K28" s="1937"/>
      <c r="L28" s="1960" t="s">
        <v>54</v>
      </c>
      <c r="M28" s="1876"/>
      <c r="N28" s="1877"/>
      <c r="O28" s="1878"/>
      <c r="P28" s="1879">
        <f>SUM(P29)</f>
        <v>34771790</v>
      </c>
      <c r="Q28" s="1876"/>
      <c r="R28" s="1877"/>
      <c r="S28" s="1878"/>
      <c r="T28" s="1879">
        <f>SUM(T29)</f>
        <v>0</v>
      </c>
      <c r="U28" s="882">
        <f>SUM(T28)-P28</f>
        <v>-34771790</v>
      </c>
      <c r="V28" s="425"/>
    </row>
    <row r="29" spans="2:22" ht="25" x14ac:dyDescent="0.25">
      <c r="B29" s="1101">
        <v>1</v>
      </c>
      <c r="C29" s="1102" t="s">
        <v>239</v>
      </c>
      <c r="D29" s="1102" t="s">
        <v>84</v>
      </c>
      <c r="E29" s="826">
        <v>15</v>
      </c>
      <c r="F29" s="827"/>
      <c r="G29" s="1075"/>
      <c r="H29" s="1075"/>
      <c r="I29" s="1075"/>
      <c r="J29" s="1938"/>
      <c r="K29" s="1938"/>
      <c r="L29" s="1939" t="s">
        <v>447</v>
      </c>
      <c r="M29" s="1940"/>
      <c r="N29" s="1941"/>
      <c r="O29" s="1941"/>
      <c r="P29" s="1188">
        <f>SUM(P30)</f>
        <v>34771790</v>
      </c>
      <c r="Q29" s="1940"/>
      <c r="R29" s="1941"/>
      <c r="S29" s="1941"/>
      <c r="T29" s="1188">
        <f>SUM(T30)</f>
        <v>0</v>
      </c>
      <c r="U29" s="756">
        <f>SUM(T29)-P29</f>
        <v>-34771790</v>
      </c>
      <c r="V29" s="761"/>
    </row>
    <row r="30" spans="2:22" ht="29.15" customHeight="1" x14ac:dyDescent="0.25">
      <c r="B30" s="654">
        <v>1</v>
      </c>
      <c r="C30" s="564" t="s">
        <v>239</v>
      </c>
      <c r="D30" s="564" t="s">
        <v>84</v>
      </c>
      <c r="E30" s="827">
        <v>15</v>
      </c>
      <c r="F30" s="798" t="s">
        <v>87</v>
      </c>
      <c r="G30" s="1075"/>
      <c r="H30" s="1075"/>
      <c r="I30" s="1074"/>
      <c r="J30" s="1938"/>
      <c r="K30" s="1938"/>
      <c r="L30" s="1942" t="s">
        <v>1064</v>
      </c>
      <c r="M30" s="1802"/>
      <c r="N30" s="1803"/>
      <c r="O30" s="1804"/>
      <c r="P30" s="1880">
        <f>SUM(P32+P48)</f>
        <v>34771790</v>
      </c>
      <c r="Q30" s="1802"/>
      <c r="R30" s="1803"/>
      <c r="S30" s="1804"/>
      <c r="T30" s="1880">
        <f>SUM(T32+T48)</f>
        <v>0</v>
      </c>
      <c r="U30" s="756">
        <f>SUM(T30)-P30</f>
        <v>-34771790</v>
      </c>
      <c r="V30" s="761"/>
    </row>
    <row r="31" spans="2:22" ht="12" customHeight="1" x14ac:dyDescent="0.25">
      <c r="B31" s="1730"/>
      <c r="C31" s="1722"/>
      <c r="D31" s="1722"/>
      <c r="E31" s="1797"/>
      <c r="F31" s="1722"/>
      <c r="G31" s="1716"/>
      <c r="H31" s="1716"/>
      <c r="I31" s="1717"/>
      <c r="J31" s="1717"/>
      <c r="K31" s="1716"/>
      <c r="L31" s="1943"/>
      <c r="M31" s="1802"/>
      <c r="N31" s="1803"/>
      <c r="O31" s="1804"/>
      <c r="P31" s="1880"/>
      <c r="Q31" s="1802"/>
      <c r="R31" s="1803"/>
      <c r="S31" s="1804"/>
      <c r="T31" s="1880"/>
      <c r="U31" s="756"/>
      <c r="V31" s="761"/>
    </row>
    <row r="32" spans="2:22" x14ac:dyDescent="0.25">
      <c r="B32" s="486">
        <v>1</v>
      </c>
      <c r="C32" s="487" t="s">
        <v>239</v>
      </c>
      <c r="D32" s="487" t="s">
        <v>84</v>
      </c>
      <c r="E32" s="1716">
        <v>15</v>
      </c>
      <c r="F32" s="1732" t="s">
        <v>87</v>
      </c>
      <c r="G32" s="1716">
        <v>5</v>
      </c>
      <c r="H32" s="1716">
        <v>2</v>
      </c>
      <c r="I32" s="1717">
        <v>1</v>
      </c>
      <c r="J32" s="1717"/>
      <c r="K32" s="1716"/>
      <c r="L32" s="1944" t="s">
        <v>39</v>
      </c>
      <c r="M32" s="602"/>
      <c r="N32" s="1719"/>
      <c r="O32" s="1720"/>
      <c r="P32" s="1880">
        <f>SUM(P33+P44)</f>
        <v>34100000</v>
      </c>
      <c r="Q32" s="602"/>
      <c r="R32" s="1719"/>
      <c r="S32" s="1720"/>
      <c r="T32" s="1880">
        <f>SUM(T33+T44)</f>
        <v>0</v>
      </c>
      <c r="U32" s="756">
        <f>SUM(T32)-P32</f>
        <v>-34100000</v>
      </c>
      <c r="V32" s="761"/>
    </row>
    <row r="33" spans="2:22" x14ac:dyDescent="0.25">
      <c r="B33" s="486">
        <v>1</v>
      </c>
      <c r="C33" s="487" t="s">
        <v>239</v>
      </c>
      <c r="D33" s="487" t="s">
        <v>84</v>
      </c>
      <c r="E33" s="1716">
        <v>15</v>
      </c>
      <c r="F33" s="1732" t="s">
        <v>87</v>
      </c>
      <c r="G33" s="1716">
        <v>5</v>
      </c>
      <c r="H33" s="1716">
        <v>2</v>
      </c>
      <c r="I33" s="1717">
        <v>1</v>
      </c>
      <c r="J33" s="1722" t="s">
        <v>84</v>
      </c>
      <c r="K33" s="1716"/>
      <c r="L33" s="1945" t="s">
        <v>96</v>
      </c>
      <c r="M33" s="602"/>
      <c r="N33" s="1724"/>
      <c r="O33" s="1725"/>
      <c r="P33" s="1880">
        <f>SUM(P34+P37)</f>
        <v>32100000</v>
      </c>
      <c r="Q33" s="602"/>
      <c r="R33" s="1724"/>
      <c r="S33" s="1725"/>
      <c r="T33" s="1880">
        <f>SUM(T34+T37)</f>
        <v>0</v>
      </c>
      <c r="U33" s="756">
        <f>SUM(T33)-P33</f>
        <v>-32100000</v>
      </c>
      <c r="V33" s="439">
        <f>U33/P33*100</f>
        <v>-100</v>
      </c>
    </row>
    <row r="34" spans="2:22" x14ac:dyDescent="0.25">
      <c r="B34" s="486">
        <v>1</v>
      </c>
      <c r="C34" s="487" t="s">
        <v>239</v>
      </c>
      <c r="D34" s="487" t="s">
        <v>84</v>
      </c>
      <c r="E34" s="1716">
        <v>15</v>
      </c>
      <c r="F34" s="1732" t="s">
        <v>87</v>
      </c>
      <c r="G34" s="1716">
        <v>5</v>
      </c>
      <c r="H34" s="1716">
        <v>2</v>
      </c>
      <c r="I34" s="1717">
        <v>1</v>
      </c>
      <c r="J34" s="1722" t="s">
        <v>84</v>
      </c>
      <c r="K34" s="1732" t="s">
        <v>84</v>
      </c>
      <c r="L34" s="1946" t="s">
        <v>85</v>
      </c>
      <c r="M34" s="603"/>
      <c r="N34" s="1727"/>
      <c r="O34" s="1728"/>
      <c r="P34" s="1811">
        <f>SUM(P35:P35)</f>
        <v>1500000</v>
      </c>
      <c r="Q34" s="603"/>
      <c r="R34" s="1727"/>
      <c r="S34" s="1728"/>
      <c r="T34" s="1811">
        <f>SUM(T35:T35)</f>
        <v>0</v>
      </c>
      <c r="U34" s="756">
        <f>SUM(T34)-P34</f>
        <v>-1500000</v>
      </c>
      <c r="V34" s="761"/>
    </row>
    <row r="35" spans="2:22" ht="50" x14ac:dyDescent="0.25">
      <c r="B35" s="1730"/>
      <c r="C35" s="1722"/>
      <c r="D35" s="1722"/>
      <c r="E35" s="1731"/>
      <c r="F35" s="1722"/>
      <c r="G35" s="1717"/>
      <c r="H35" s="1717"/>
      <c r="I35" s="1735"/>
      <c r="J35" s="1736"/>
      <c r="K35" s="1732"/>
      <c r="L35" s="1947" t="s">
        <v>1067</v>
      </c>
      <c r="M35" s="603">
        <v>6</v>
      </c>
      <c r="N35" s="1078" t="s">
        <v>82</v>
      </c>
      <c r="O35" s="961">
        <v>250000</v>
      </c>
      <c r="P35" s="1190">
        <f>O35*M35</f>
        <v>1500000</v>
      </c>
      <c r="Q35" s="603"/>
      <c r="R35" s="1078"/>
      <c r="S35" s="961"/>
      <c r="T35" s="1190">
        <f>S35*Q35</f>
        <v>0</v>
      </c>
      <c r="U35" s="756">
        <f>SUM(T35)-P35</f>
        <v>-1500000</v>
      </c>
      <c r="V35" s="761"/>
    </row>
    <row r="36" spans="2:22" ht="13.5" customHeight="1" x14ac:dyDescent="0.25">
      <c r="B36" s="1730"/>
      <c r="C36" s="1722"/>
      <c r="D36" s="1722"/>
      <c r="E36" s="1731"/>
      <c r="F36" s="1722"/>
      <c r="G36" s="1717"/>
      <c r="H36" s="1717"/>
      <c r="I36" s="1735"/>
      <c r="J36" s="1736"/>
      <c r="K36" s="1732"/>
      <c r="L36" s="1948"/>
      <c r="M36" s="603"/>
      <c r="N36" s="1728"/>
      <c r="O36" s="1811"/>
      <c r="P36" s="1811"/>
      <c r="Q36" s="603"/>
      <c r="R36" s="1728"/>
      <c r="S36" s="1811"/>
      <c r="T36" s="1811"/>
      <c r="U36" s="675"/>
      <c r="V36" s="761"/>
    </row>
    <row r="37" spans="2:22" ht="13.5" customHeight="1" x14ac:dyDescent="0.25">
      <c r="B37" s="486">
        <v>1</v>
      </c>
      <c r="C37" s="487" t="s">
        <v>239</v>
      </c>
      <c r="D37" s="487" t="s">
        <v>84</v>
      </c>
      <c r="E37" s="1716">
        <v>15</v>
      </c>
      <c r="F37" s="1732" t="s">
        <v>87</v>
      </c>
      <c r="G37" s="1716">
        <v>5</v>
      </c>
      <c r="H37" s="1716">
        <v>2</v>
      </c>
      <c r="I37" s="1717">
        <v>1</v>
      </c>
      <c r="J37" s="1722" t="s">
        <v>84</v>
      </c>
      <c r="K37" s="1732" t="s">
        <v>112</v>
      </c>
      <c r="L37" s="1946" t="s">
        <v>174</v>
      </c>
      <c r="M37" s="603"/>
      <c r="N37" s="1727"/>
      <c r="O37" s="1728"/>
      <c r="P37" s="1811">
        <f>SUM(P38)</f>
        <v>30600000</v>
      </c>
      <c r="Q37" s="603"/>
      <c r="R37" s="1727"/>
      <c r="S37" s="1728"/>
      <c r="T37" s="1811">
        <f>SUM(T38)</f>
        <v>0</v>
      </c>
      <c r="U37" s="756">
        <f t="shared" ref="U37:U43" si="0">SUM(T37)-P37</f>
        <v>-30600000</v>
      </c>
      <c r="V37" s="761"/>
    </row>
    <row r="38" spans="2:22" ht="13.5" customHeight="1" x14ac:dyDescent="0.25">
      <c r="B38" s="1730"/>
      <c r="C38" s="1722"/>
      <c r="D38" s="1722"/>
      <c r="E38" s="1731"/>
      <c r="F38" s="1722"/>
      <c r="G38" s="1717"/>
      <c r="H38" s="1717"/>
      <c r="I38" s="1735"/>
      <c r="J38" s="1736"/>
      <c r="K38" s="1732"/>
      <c r="L38" s="1946" t="s">
        <v>1068</v>
      </c>
      <c r="M38" s="603"/>
      <c r="N38" s="1727"/>
      <c r="O38" s="1841"/>
      <c r="P38" s="1811">
        <f>SUM(P39:P42)</f>
        <v>30600000</v>
      </c>
      <c r="Q38" s="603"/>
      <c r="R38" s="1727"/>
      <c r="S38" s="1841"/>
      <c r="T38" s="1811">
        <f>SUM(T39:T42)</f>
        <v>0</v>
      </c>
      <c r="U38" s="756">
        <f t="shared" si="0"/>
        <v>-30600000</v>
      </c>
      <c r="V38" s="761"/>
    </row>
    <row r="39" spans="2:22" ht="13.5" customHeight="1" x14ac:dyDescent="0.25">
      <c r="B39" s="1730"/>
      <c r="C39" s="1722"/>
      <c r="D39" s="1722"/>
      <c r="E39" s="1731"/>
      <c r="F39" s="1722"/>
      <c r="G39" s="1717"/>
      <c r="H39" s="1717"/>
      <c r="I39" s="1735"/>
      <c r="J39" s="1736"/>
      <c r="K39" s="1732"/>
      <c r="L39" s="1949" t="s">
        <v>1069</v>
      </c>
      <c r="M39" s="604">
        <f>2*6</f>
        <v>12</v>
      </c>
      <c r="N39" s="1728" t="s">
        <v>82</v>
      </c>
      <c r="O39" s="1811">
        <v>500000</v>
      </c>
      <c r="P39" s="1811">
        <f>M39*O39</f>
        <v>6000000</v>
      </c>
      <c r="Q39" s="604"/>
      <c r="R39" s="1728"/>
      <c r="S39" s="1811"/>
      <c r="T39" s="1811">
        <f>Q39*S39</f>
        <v>0</v>
      </c>
      <c r="U39" s="756">
        <f t="shared" si="0"/>
        <v>-6000000</v>
      </c>
      <c r="V39" s="761"/>
    </row>
    <row r="40" spans="2:22" ht="13.5" customHeight="1" x14ac:dyDescent="0.25">
      <c r="B40" s="1730"/>
      <c r="C40" s="1722"/>
      <c r="D40" s="1722"/>
      <c r="E40" s="1731"/>
      <c r="F40" s="1722"/>
      <c r="G40" s="1717"/>
      <c r="H40" s="1717"/>
      <c r="I40" s="1735"/>
      <c r="J40" s="1736"/>
      <c r="K40" s="1732"/>
      <c r="L40" s="1737" t="s">
        <v>1070</v>
      </c>
      <c r="M40" s="603">
        <f>1*6</f>
        <v>6</v>
      </c>
      <c r="N40" s="1728" t="s">
        <v>82</v>
      </c>
      <c r="O40" s="1811">
        <v>450000</v>
      </c>
      <c r="P40" s="1811">
        <f>M40*O40</f>
        <v>2700000</v>
      </c>
      <c r="Q40" s="603"/>
      <c r="R40" s="1728"/>
      <c r="S40" s="1811"/>
      <c r="T40" s="1811">
        <f>Q40*S40</f>
        <v>0</v>
      </c>
      <c r="U40" s="756">
        <f t="shared" si="0"/>
        <v>-2700000</v>
      </c>
      <c r="V40" s="761"/>
    </row>
    <row r="41" spans="2:22" ht="13.5" customHeight="1" x14ac:dyDescent="0.25">
      <c r="B41" s="1730"/>
      <c r="C41" s="1722"/>
      <c r="D41" s="1722"/>
      <c r="E41" s="1731"/>
      <c r="F41" s="1722"/>
      <c r="G41" s="1717"/>
      <c r="H41" s="1717"/>
      <c r="I41" s="1735"/>
      <c r="J41" s="1736"/>
      <c r="K41" s="1732"/>
      <c r="L41" s="1737" t="s">
        <v>448</v>
      </c>
      <c r="M41" s="603">
        <f>1*6</f>
        <v>6</v>
      </c>
      <c r="N41" s="1728" t="s">
        <v>82</v>
      </c>
      <c r="O41" s="1811">
        <v>400000</v>
      </c>
      <c r="P41" s="1811">
        <f>M41*O41</f>
        <v>2400000</v>
      </c>
      <c r="Q41" s="603"/>
      <c r="R41" s="1728"/>
      <c r="S41" s="1811"/>
      <c r="T41" s="1811">
        <f>Q41*S41</f>
        <v>0</v>
      </c>
      <c r="U41" s="756">
        <f t="shared" si="0"/>
        <v>-2400000</v>
      </c>
      <c r="V41" s="761"/>
    </row>
    <row r="42" spans="2:22" ht="13.5" customHeight="1" x14ac:dyDescent="0.25">
      <c r="B42" s="1730"/>
      <c r="C42" s="1722"/>
      <c r="D42" s="1722"/>
      <c r="E42" s="1731"/>
      <c r="F42" s="1722"/>
      <c r="G42" s="1717"/>
      <c r="H42" s="1717"/>
      <c r="I42" s="1735"/>
      <c r="J42" s="1736"/>
      <c r="K42" s="1732"/>
      <c r="L42" s="1737" t="s">
        <v>1071</v>
      </c>
      <c r="M42" s="603">
        <f>13*6</f>
        <v>78</v>
      </c>
      <c r="N42" s="1728" t="s">
        <v>82</v>
      </c>
      <c r="O42" s="1811">
        <v>250000</v>
      </c>
      <c r="P42" s="1811">
        <f>M42*O42</f>
        <v>19500000</v>
      </c>
      <c r="Q42" s="603"/>
      <c r="R42" s="1728"/>
      <c r="S42" s="1811"/>
      <c r="T42" s="1811">
        <f>Q42*S42</f>
        <v>0</v>
      </c>
      <c r="U42" s="756">
        <f t="shared" si="0"/>
        <v>-19500000</v>
      </c>
      <c r="V42" s="761"/>
    </row>
    <row r="43" spans="2:22" ht="13.5" customHeight="1" x14ac:dyDescent="0.25">
      <c r="B43" s="1730"/>
      <c r="C43" s="1722"/>
      <c r="D43" s="1722"/>
      <c r="E43" s="1731"/>
      <c r="F43" s="1722"/>
      <c r="G43" s="1717"/>
      <c r="H43" s="1717"/>
      <c r="I43" s="1735"/>
      <c r="J43" s="1736"/>
      <c r="K43" s="1732"/>
      <c r="L43" s="1946"/>
      <c r="M43" s="603"/>
      <c r="N43" s="1728"/>
      <c r="O43" s="1811"/>
      <c r="P43" s="1811"/>
      <c r="Q43" s="603"/>
      <c r="R43" s="1728"/>
      <c r="S43" s="1811"/>
      <c r="T43" s="1811"/>
      <c r="U43" s="756">
        <f t="shared" si="0"/>
        <v>0</v>
      </c>
      <c r="V43" s="761"/>
    </row>
    <row r="44" spans="2:22" ht="13.5" customHeight="1" x14ac:dyDescent="0.25">
      <c r="B44" s="486">
        <v>1</v>
      </c>
      <c r="C44" s="487" t="s">
        <v>239</v>
      </c>
      <c r="D44" s="487" t="s">
        <v>84</v>
      </c>
      <c r="E44" s="1716">
        <v>15</v>
      </c>
      <c r="F44" s="1732" t="s">
        <v>87</v>
      </c>
      <c r="G44" s="1716">
        <v>5</v>
      </c>
      <c r="H44" s="1716">
        <v>2</v>
      </c>
      <c r="I44" s="1717">
        <v>1</v>
      </c>
      <c r="J44" s="1722" t="s">
        <v>87</v>
      </c>
      <c r="K44" s="1716"/>
      <c r="L44" s="1945" t="s">
        <v>1072</v>
      </c>
      <c r="M44" s="602"/>
      <c r="N44" s="1724"/>
      <c r="O44" s="1725"/>
      <c r="P44" s="1880">
        <f>P45</f>
        <v>2000000</v>
      </c>
      <c r="Q44" s="602"/>
      <c r="R44" s="1724"/>
      <c r="S44" s="1725"/>
      <c r="T44" s="1880">
        <f>T45</f>
        <v>0</v>
      </c>
      <c r="U44" s="675"/>
      <c r="V44" s="761"/>
    </row>
    <row r="45" spans="2:22" ht="13.5" customHeight="1" x14ac:dyDescent="0.25">
      <c r="B45" s="486">
        <v>1</v>
      </c>
      <c r="C45" s="487" t="s">
        <v>239</v>
      </c>
      <c r="D45" s="487" t="s">
        <v>84</v>
      </c>
      <c r="E45" s="1716">
        <v>15</v>
      </c>
      <c r="F45" s="1732" t="s">
        <v>87</v>
      </c>
      <c r="G45" s="1716">
        <v>5</v>
      </c>
      <c r="H45" s="1716">
        <v>2</v>
      </c>
      <c r="I45" s="1717">
        <v>1</v>
      </c>
      <c r="J45" s="1722" t="s">
        <v>87</v>
      </c>
      <c r="K45" s="1732" t="s">
        <v>97</v>
      </c>
      <c r="L45" s="1946" t="s">
        <v>175</v>
      </c>
      <c r="M45" s="603"/>
      <c r="N45" s="1727"/>
      <c r="O45" s="1728"/>
      <c r="P45" s="1811">
        <f>SUM(P46:P46)</f>
        <v>2000000</v>
      </c>
      <c r="Q45" s="603"/>
      <c r="R45" s="1727"/>
      <c r="S45" s="1728"/>
      <c r="T45" s="1811">
        <f>SUM(T46:T46)</f>
        <v>0</v>
      </c>
      <c r="U45" s="756">
        <f t="shared" ref="U45:U53" si="1">SUM(T45)-P45</f>
        <v>-2000000</v>
      </c>
      <c r="V45" s="761"/>
    </row>
    <row r="46" spans="2:22" ht="18" customHeight="1" x14ac:dyDescent="0.25">
      <c r="B46" s="1730"/>
      <c r="C46" s="1722"/>
      <c r="D46" s="1722"/>
      <c r="E46" s="1731"/>
      <c r="F46" s="1722"/>
      <c r="G46" s="1717"/>
      <c r="H46" s="1717"/>
      <c r="I46" s="1735"/>
      <c r="J46" s="1736"/>
      <c r="K46" s="1732"/>
      <c r="L46" s="1737" t="s">
        <v>1073</v>
      </c>
      <c r="M46" s="603">
        <f>4*10</f>
        <v>40</v>
      </c>
      <c r="N46" s="1727" t="s">
        <v>1074</v>
      </c>
      <c r="O46" s="1841">
        <v>50000</v>
      </c>
      <c r="P46" s="1811">
        <f>O46*M46</f>
        <v>2000000</v>
      </c>
      <c r="Q46" s="603"/>
      <c r="R46" s="1727"/>
      <c r="S46" s="1841"/>
      <c r="T46" s="1811">
        <f>S46*Q46</f>
        <v>0</v>
      </c>
      <c r="U46" s="756">
        <f t="shared" si="1"/>
        <v>-2000000</v>
      </c>
      <c r="V46" s="761"/>
    </row>
    <row r="47" spans="2:22" ht="13.5" customHeight="1" x14ac:dyDescent="0.25">
      <c r="B47" s="1730"/>
      <c r="C47" s="1722"/>
      <c r="D47" s="1722"/>
      <c r="E47" s="1731"/>
      <c r="F47" s="1722"/>
      <c r="G47" s="1717"/>
      <c r="H47" s="1717"/>
      <c r="I47" s="1735"/>
      <c r="J47" s="1736"/>
      <c r="K47" s="1732"/>
      <c r="L47" s="1946"/>
      <c r="M47" s="603"/>
      <c r="N47" s="1728"/>
      <c r="O47" s="1811"/>
      <c r="P47" s="1811"/>
      <c r="Q47" s="603"/>
      <c r="R47" s="1728"/>
      <c r="S47" s="1811"/>
      <c r="T47" s="1811"/>
      <c r="U47" s="756">
        <f t="shared" si="1"/>
        <v>0</v>
      </c>
      <c r="V47" s="761"/>
    </row>
    <row r="48" spans="2:22" ht="13.5" customHeight="1" x14ac:dyDescent="0.25">
      <c r="B48" s="486">
        <v>1</v>
      </c>
      <c r="C48" s="487" t="s">
        <v>239</v>
      </c>
      <c r="D48" s="487" t="s">
        <v>84</v>
      </c>
      <c r="E48" s="1716">
        <v>15</v>
      </c>
      <c r="F48" s="1732" t="s">
        <v>87</v>
      </c>
      <c r="G48" s="1716">
        <v>5</v>
      </c>
      <c r="H48" s="1716">
        <v>2</v>
      </c>
      <c r="I48" s="1717">
        <v>2</v>
      </c>
      <c r="J48" s="1717"/>
      <c r="K48" s="1716"/>
      <c r="L48" s="1824" t="s">
        <v>64</v>
      </c>
      <c r="M48" s="1094"/>
      <c r="N48" s="1728"/>
      <c r="O48" s="1831"/>
      <c r="P48" s="1881">
        <f>SUM(P49+P60)</f>
        <v>671790</v>
      </c>
      <c r="Q48" s="1094"/>
      <c r="R48" s="1728"/>
      <c r="S48" s="1831"/>
      <c r="T48" s="1881">
        <f>SUM(T49+T60)</f>
        <v>0</v>
      </c>
      <c r="U48" s="756">
        <f t="shared" si="1"/>
        <v>-671790</v>
      </c>
      <c r="V48" s="761"/>
    </row>
    <row r="49" spans="2:23" ht="13.5" customHeight="1" x14ac:dyDescent="0.25">
      <c r="B49" s="486">
        <v>1</v>
      </c>
      <c r="C49" s="487" t="s">
        <v>239</v>
      </c>
      <c r="D49" s="487" t="s">
        <v>84</v>
      </c>
      <c r="E49" s="1716">
        <v>15</v>
      </c>
      <c r="F49" s="1732" t="s">
        <v>87</v>
      </c>
      <c r="G49" s="1716">
        <v>5</v>
      </c>
      <c r="H49" s="1716">
        <v>2</v>
      </c>
      <c r="I49" s="1716">
        <v>2</v>
      </c>
      <c r="J49" s="1722" t="s">
        <v>84</v>
      </c>
      <c r="K49" s="1716"/>
      <c r="L49" s="1950" t="s">
        <v>55</v>
      </c>
      <c r="M49" s="1094"/>
      <c r="N49" s="1828"/>
      <c r="O49" s="1829"/>
      <c r="P49" s="1881">
        <f>SUM(P50)</f>
        <v>421890</v>
      </c>
      <c r="Q49" s="1094"/>
      <c r="R49" s="1828"/>
      <c r="S49" s="1829"/>
      <c r="T49" s="1881">
        <f>SUM(T50)</f>
        <v>0</v>
      </c>
      <c r="U49" s="756">
        <f t="shared" si="1"/>
        <v>-421890</v>
      </c>
      <c r="V49" s="761"/>
    </row>
    <row r="50" spans="2:23" ht="13.5" customHeight="1" x14ac:dyDescent="0.25">
      <c r="B50" s="486">
        <v>1</v>
      </c>
      <c r="C50" s="487" t="s">
        <v>239</v>
      </c>
      <c r="D50" s="487" t="s">
        <v>84</v>
      </c>
      <c r="E50" s="1716">
        <v>15</v>
      </c>
      <c r="F50" s="1732" t="s">
        <v>87</v>
      </c>
      <c r="G50" s="1716">
        <v>5</v>
      </c>
      <c r="H50" s="1716">
        <v>2</v>
      </c>
      <c r="I50" s="1716">
        <v>2</v>
      </c>
      <c r="J50" s="1722" t="s">
        <v>84</v>
      </c>
      <c r="K50" s="1732" t="s">
        <v>84</v>
      </c>
      <c r="L50" s="1951" t="s">
        <v>70</v>
      </c>
      <c r="M50" s="1094"/>
      <c r="N50" s="1728"/>
      <c r="O50" s="1831"/>
      <c r="P50" s="1811">
        <f>SUM(P51:P58)</f>
        <v>421890</v>
      </c>
      <c r="Q50" s="1094"/>
      <c r="R50" s="1728"/>
      <c r="S50" s="1831"/>
      <c r="T50" s="1811">
        <f>SUM(T51:T58)</f>
        <v>0</v>
      </c>
      <c r="U50" s="756">
        <f t="shared" si="1"/>
        <v>-421890</v>
      </c>
      <c r="V50" s="761"/>
    </row>
    <row r="51" spans="2:23" x14ac:dyDescent="0.25">
      <c r="B51" s="1730"/>
      <c r="C51" s="1722"/>
      <c r="D51" s="1722"/>
      <c r="E51" s="1731"/>
      <c r="F51" s="1731"/>
      <c r="G51" s="1717"/>
      <c r="H51" s="1717"/>
      <c r="I51" s="1717"/>
      <c r="J51" s="1722"/>
      <c r="K51" s="1732"/>
      <c r="L51" s="1952" t="s">
        <v>1075</v>
      </c>
      <c r="M51" s="1094">
        <v>3</v>
      </c>
      <c r="N51" s="1727" t="s">
        <v>89</v>
      </c>
      <c r="O51" s="1841">
        <v>43700</v>
      </c>
      <c r="P51" s="1929">
        <f t="shared" ref="P51:P58" si="2">O51*M51</f>
        <v>131100</v>
      </c>
      <c r="Q51" s="1094"/>
      <c r="R51" s="1727"/>
      <c r="S51" s="1841"/>
      <c r="T51" s="1929">
        <f t="shared" ref="T51:T58" si="3">S51*Q51</f>
        <v>0</v>
      </c>
      <c r="U51" s="756">
        <f t="shared" si="1"/>
        <v>-131100</v>
      </c>
      <c r="V51" s="761"/>
    </row>
    <row r="52" spans="2:23" x14ac:dyDescent="0.25">
      <c r="B52" s="1730"/>
      <c r="C52" s="1722"/>
      <c r="D52" s="1722"/>
      <c r="E52" s="1731"/>
      <c r="F52" s="1731"/>
      <c r="G52" s="1717"/>
      <c r="H52" s="1717"/>
      <c r="I52" s="1717"/>
      <c r="J52" s="1722"/>
      <c r="K52" s="1732"/>
      <c r="L52" s="1953" t="s">
        <v>1076</v>
      </c>
      <c r="M52" s="1094">
        <v>1</v>
      </c>
      <c r="N52" s="1727" t="s">
        <v>1077</v>
      </c>
      <c r="O52" s="1841">
        <v>16250</v>
      </c>
      <c r="P52" s="1929">
        <f t="shared" si="2"/>
        <v>16250</v>
      </c>
      <c r="Q52" s="1094"/>
      <c r="R52" s="1727"/>
      <c r="S52" s="1841"/>
      <c r="T52" s="1929">
        <f t="shared" si="3"/>
        <v>0</v>
      </c>
      <c r="U52" s="756">
        <f t="shared" si="1"/>
        <v>-16250</v>
      </c>
      <c r="V52" s="761"/>
    </row>
    <row r="53" spans="2:23" x14ac:dyDescent="0.25">
      <c r="B53" s="1730"/>
      <c r="C53" s="1722"/>
      <c r="D53" s="1722"/>
      <c r="E53" s="1731"/>
      <c r="F53" s="1731"/>
      <c r="G53" s="1717"/>
      <c r="H53" s="1717"/>
      <c r="I53" s="1717"/>
      <c r="J53" s="1722"/>
      <c r="K53" s="1732"/>
      <c r="L53" s="1953" t="s">
        <v>1078</v>
      </c>
      <c r="M53" s="1094">
        <v>1</v>
      </c>
      <c r="N53" s="1727" t="s">
        <v>445</v>
      </c>
      <c r="O53" s="1841">
        <v>12600</v>
      </c>
      <c r="P53" s="1929">
        <f t="shared" si="2"/>
        <v>12600</v>
      </c>
      <c r="Q53" s="1094"/>
      <c r="R53" s="1727"/>
      <c r="S53" s="1841"/>
      <c r="T53" s="1929">
        <f t="shared" si="3"/>
        <v>0</v>
      </c>
      <c r="U53" s="756">
        <f t="shared" si="1"/>
        <v>-12600</v>
      </c>
      <c r="V53" s="761"/>
    </row>
    <row r="54" spans="2:23" ht="13.5" customHeight="1" x14ac:dyDescent="0.25">
      <c r="B54" s="1730"/>
      <c r="C54" s="1722"/>
      <c r="D54" s="1722"/>
      <c r="E54" s="1731"/>
      <c r="F54" s="1731"/>
      <c r="G54" s="1717"/>
      <c r="H54" s="1717"/>
      <c r="I54" s="1717"/>
      <c r="J54" s="1722"/>
      <c r="K54" s="1732"/>
      <c r="L54" s="1953" t="s">
        <v>1079</v>
      </c>
      <c r="M54" s="1094">
        <v>1</v>
      </c>
      <c r="N54" s="1727" t="s">
        <v>445</v>
      </c>
      <c r="O54" s="1841">
        <v>18750</v>
      </c>
      <c r="P54" s="1929">
        <f t="shared" si="2"/>
        <v>18750</v>
      </c>
      <c r="Q54" s="1094"/>
      <c r="R54" s="1727"/>
      <c r="S54" s="1841"/>
      <c r="T54" s="1929">
        <f t="shared" si="3"/>
        <v>0</v>
      </c>
      <c r="U54" s="675"/>
      <c r="V54" s="761"/>
    </row>
    <row r="55" spans="2:23" ht="13.5" customHeight="1" x14ac:dyDescent="0.25">
      <c r="B55" s="1730"/>
      <c r="C55" s="1722"/>
      <c r="D55" s="1722"/>
      <c r="E55" s="1731"/>
      <c r="F55" s="1731"/>
      <c r="G55" s="1717"/>
      <c r="H55" s="1717"/>
      <c r="I55" s="1717"/>
      <c r="J55" s="1722"/>
      <c r="K55" s="1732"/>
      <c r="L55" s="1953" t="s">
        <v>1080</v>
      </c>
      <c r="M55" s="1094">
        <v>1</v>
      </c>
      <c r="N55" s="1727" t="s">
        <v>621</v>
      </c>
      <c r="O55" s="1841">
        <v>2500</v>
      </c>
      <c r="P55" s="1929">
        <f t="shared" si="2"/>
        <v>2500</v>
      </c>
      <c r="Q55" s="1094"/>
      <c r="R55" s="1727"/>
      <c r="S55" s="1841"/>
      <c r="T55" s="1929">
        <f t="shared" si="3"/>
        <v>0</v>
      </c>
      <c r="U55" s="756">
        <f t="shared" ref="U55:U61" si="4">SUM(T55)-P55</f>
        <v>-2500</v>
      </c>
      <c r="V55" s="761"/>
    </row>
    <row r="56" spans="2:23" ht="13.5" customHeight="1" x14ac:dyDescent="0.25">
      <c r="B56" s="1730"/>
      <c r="C56" s="1722"/>
      <c r="D56" s="1722"/>
      <c r="E56" s="1731"/>
      <c r="F56" s="1731"/>
      <c r="G56" s="1717"/>
      <c r="H56" s="1717"/>
      <c r="I56" s="1717"/>
      <c r="J56" s="1722"/>
      <c r="K56" s="1732"/>
      <c r="L56" s="1953" t="s">
        <v>1081</v>
      </c>
      <c r="M56" s="1094">
        <v>1</v>
      </c>
      <c r="N56" s="1727" t="s">
        <v>471</v>
      </c>
      <c r="O56" s="1841">
        <v>3130</v>
      </c>
      <c r="P56" s="1929">
        <f t="shared" si="2"/>
        <v>3130</v>
      </c>
      <c r="Q56" s="1094"/>
      <c r="R56" s="1727"/>
      <c r="S56" s="1841"/>
      <c r="T56" s="1929">
        <f t="shared" si="3"/>
        <v>0</v>
      </c>
      <c r="U56" s="756">
        <f t="shared" si="4"/>
        <v>-3130</v>
      </c>
      <c r="V56" s="761"/>
    </row>
    <row r="57" spans="2:23" ht="16.5" customHeight="1" x14ac:dyDescent="0.25">
      <c r="B57" s="1730"/>
      <c r="C57" s="1722"/>
      <c r="D57" s="1722"/>
      <c r="E57" s="1731"/>
      <c r="F57" s="1731"/>
      <c r="G57" s="1717"/>
      <c r="H57" s="1717"/>
      <c r="I57" s="1717"/>
      <c r="J57" s="1722"/>
      <c r="K57" s="1732"/>
      <c r="L57" s="1953" t="s">
        <v>1031</v>
      </c>
      <c r="M57" s="1094">
        <v>12</v>
      </c>
      <c r="N57" s="1727" t="s">
        <v>445</v>
      </c>
      <c r="O57" s="1841">
        <v>3130</v>
      </c>
      <c r="P57" s="1929">
        <f t="shared" si="2"/>
        <v>37560</v>
      </c>
      <c r="Q57" s="1094"/>
      <c r="R57" s="1727"/>
      <c r="S57" s="1841"/>
      <c r="T57" s="1929">
        <f t="shared" si="3"/>
        <v>0</v>
      </c>
      <c r="U57" s="756">
        <f t="shared" si="4"/>
        <v>-37560</v>
      </c>
      <c r="V57" s="761"/>
    </row>
    <row r="58" spans="2:23" x14ac:dyDescent="0.25">
      <c r="B58" s="1730"/>
      <c r="C58" s="1722"/>
      <c r="D58" s="1722"/>
      <c r="E58" s="1731"/>
      <c r="F58" s="1731"/>
      <c r="G58" s="1717"/>
      <c r="H58" s="1717"/>
      <c r="I58" s="1717"/>
      <c r="J58" s="1722"/>
      <c r="K58" s="1732"/>
      <c r="L58" s="1952" t="s">
        <v>1082</v>
      </c>
      <c r="M58" s="1898">
        <v>1</v>
      </c>
      <c r="N58" s="1899" t="s">
        <v>61</v>
      </c>
      <c r="O58" s="1900">
        <v>200000</v>
      </c>
      <c r="P58" s="1929">
        <f t="shared" si="2"/>
        <v>200000</v>
      </c>
      <c r="Q58" s="1898"/>
      <c r="R58" s="1899"/>
      <c r="S58" s="1900"/>
      <c r="T58" s="1929">
        <f t="shared" si="3"/>
        <v>0</v>
      </c>
      <c r="U58" s="756">
        <f t="shared" si="4"/>
        <v>-200000</v>
      </c>
      <c r="V58" s="761"/>
    </row>
    <row r="59" spans="2:23" x14ac:dyDescent="0.25">
      <c r="B59" s="1901"/>
      <c r="C59" s="1902"/>
      <c r="D59" s="1902"/>
      <c r="E59" s="1903"/>
      <c r="F59" s="1902"/>
      <c r="G59" s="1904"/>
      <c r="H59" s="1904"/>
      <c r="I59" s="1904"/>
      <c r="J59" s="1904"/>
      <c r="K59" s="1954"/>
      <c r="L59" s="1955"/>
      <c r="M59" s="1956"/>
      <c r="N59" s="1957"/>
      <c r="O59" s="1958"/>
      <c r="P59" s="1961"/>
      <c r="Q59" s="1956"/>
      <c r="R59" s="1957"/>
      <c r="S59" s="1958"/>
      <c r="T59" s="1961"/>
      <c r="U59" s="756">
        <f t="shared" si="4"/>
        <v>0</v>
      </c>
      <c r="V59" s="761"/>
    </row>
    <row r="60" spans="2:23" x14ac:dyDescent="0.25">
      <c r="B60" s="486">
        <v>1</v>
      </c>
      <c r="C60" s="487" t="s">
        <v>239</v>
      </c>
      <c r="D60" s="487" t="s">
        <v>84</v>
      </c>
      <c r="E60" s="1716">
        <v>15</v>
      </c>
      <c r="F60" s="1732" t="s">
        <v>87</v>
      </c>
      <c r="G60" s="1716">
        <v>5</v>
      </c>
      <c r="H60" s="1716">
        <v>2</v>
      </c>
      <c r="I60" s="1716">
        <v>2</v>
      </c>
      <c r="J60" s="1722" t="s">
        <v>86</v>
      </c>
      <c r="K60" s="1716"/>
      <c r="L60" s="1950" t="s">
        <v>60</v>
      </c>
      <c r="M60" s="1094"/>
      <c r="N60" s="1908"/>
      <c r="O60" s="1828"/>
      <c r="P60" s="1881">
        <f>P61</f>
        <v>249900</v>
      </c>
      <c r="Q60" s="1094"/>
      <c r="R60" s="1908"/>
      <c r="S60" s="1828"/>
      <c r="T60" s="1881">
        <f>T61</f>
        <v>0</v>
      </c>
      <c r="U60" s="756">
        <f t="shared" si="4"/>
        <v>-249900</v>
      </c>
      <c r="V60" s="761"/>
    </row>
    <row r="61" spans="2:23" x14ac:dyDescent="0.25">
      <c r="B61" s="486">
        <v>1</v>
      </c>
      <c r="C61" s="487" t="s">
        <v>239</v>
      </c>
      <c r="D61" s="487" t="s">
        <v>84</v>
      </c>
      <c r="E61" s="1716">
        <v>15</v>
      </c>
      <c r="F61" s="1732" t="s">
        <v>87</v>
      </c>
      <c r="G61" s="1716">
        <v>5</v>
      </c>
      <c r="H61" s="1716">
        <v>2</v>
      </c>
      <c r="I61" s="1716">
        <v>2</v>
      </c>
      <c r="J61" s="1722" t="s">
        <v>86</v>
      </c>
      <c r="K61" s="1732" t="s">
        <v>87</v>
      </c>
      <c r="L61" s="1951" t="s">
        <v>65</v>
      </c>
      <c r="M61" s="1094"/>
      <c r="N61" s="1727"/>
      <c r="O61" s="1728"/>
      <c r="P61" s="1811">
        <f>SUM(P62)</f>
        <v>249900</v>
      </c>
      <c r="Q61" s="1094"/>
      <c r="R61" s="1727"/>
      <c r="S61" s="1728"/>
      <c r="T61" s="1811">
        <f>SUM(T62)</f>
        <v>0</v>
      </c>
      <c r="U61" s="756">
        <f t="shared" si="4"/>
        <v>-249900</v>
      </c>
      <c r="V61" s="813"/>
    </row>
    <row r="62" spans="2:23" x14ac:dyDescent="0.25">
      <c r="B62" s="1730"/>
      <c r="C62" s="1722"/>
      <c r="D62" s="1722"/>
      <c r="E62" s="1731"/>
      <c r="F62" s="1722"/>
      <c r="G62" s="1717"/>
      <c r="H62" s="1717"/>
      <c r="I62" s="1717"/>
      <c r="J62" s="1717"/>
      <c r="K62" s="1716"/>
      <c r="L62" s="1952" t="s">
        <v>1083</v>
      </c>
      <c r="M62" s="1898">
        <v>714</v>
      </c>
      <c r="N62" s="1899" t="s">
        <v>58</v>
      </c>
      <c r="O62" s="1739">
        <v>350</v>
      </c>
      <c r="P62" s="1929">
        <f>O62*M62</f>
        <v>249900</v>
      </c>
      <c r="Q62" s="1898"/>
      <c r="R62" s="1899"/>
      <c r="S62" s="1739"/>
      <c r="T62" s="1929">
        <f>S62*Q62</f>
        <v>0</v>
      </c>
      <c r="U62" s="897"/>
      <c r="V62" s="813"/>
    </row>
    <row r="63" spans="2:23" x14ac:dyDescent="0.25">
      <c r="B63" s="925"/>
      <c r="C63" s="926"/>
      <c r="D63" s="926"/>
      <c r="E63" s="927"/>
      <c r="F63" s="926"/>
      <c r="G63" s="928"/>
      <c r="H63" s="928"/>
      <c r="I63" s="928"/>
      <c r="J63" s="928"/>
      <c r="K63" s="926"/>
      <c r="L63" s="929"/>
      <c r="M63" s="930"/>
      <c r="N63" s="931"/>
      <c r="O63" s="932"/>
      <c r="P63" s="933"/>
      <c r="Q63" s="930"/>
      <c r="R63" s="931"/>
      <c r="S63" s="932"/>
      <c r="T63" s="933"/>
      <c r="U63" s="898"/>
      <c r="V63" s="813"/>
    </row>
    <row r="64" spans="2:23" ht="14.5" thickBot="1" x14ac:dyDescent="0.3">
      <c r="B64" s="2730" t="s">
        <v>15</v>
      </c>
      <c r="C64" s="2731"/>
      <c r="D64" s="2731"/>
      <c r="E64" s="2731"/>
      <c r="F64" s="2731"/>
      <c r="G64" s="2731"/>
      <c r="H64" s="2731"/>
      <c r="I64" s="2731"/>
      <c r="J64" s="2731"/>
      <c r="K64" s="2731"/>
      <c r="L64" s="2731"/>
      <c r="M64" s="2731"/>
      <c r="N64" s="2731"/>
      <c r="O64" s="2732"/>
      <c r="P64" s="436">
        <f>P28</f>
        <v>34771790</v>
      </c>
      <c r="Q64" s="2915"/>
      <c r="R64" s="2916"/>
      <c r="S64" s="2917"/>
      <c r="T64" s="436">
        <f>T28</f>
        <v>0</v>
      </c>
      <c r="U64" s="438">
        <f>SUM(U28:U62)</f>
        <v>-271733880</v>
      </c>
      <c r="V64" s="957">
        <f>U64/P64*100</f>
        <v>-781.47797395532416</v>
      </c>
      <c r="W64" s="22"/>
    </row>
    <row r="65" spans="2:23" ht="12.75" customHeight="1" thickTop="1" x14ac:dyDescent="0.25">
      <c r="B65" s="2918"/>
      <c r="C65" s="2919"/>
      <c r="D65" s="2919"/>
      <c r="E65" s="2919"/>
      <c r="F65" s="2919"/>
      <c r="G65" s="2919"/>
      <c r="H65" s="2919"/>
      <c r="I65" s="2919"/>
      <c r="J65" s="2919"/>
      <c r="K65" s="2919"/>
      <c r="L65" s="2919"/>
      <c r="M65" s="2919"/>
      <c r="N65" s="2919"/>
      <c r="O65" s="2919"/>
      <c r="P65" s="2919"/>
      <c r="Q65" s="2919"/>
      <c r="R65" s="2919"/>
      <c r="S65" s="2919"/>
      <c r="T65" s="2919"/>
      <c r="U65" s="2919"/>
      <c r="V65" s="2920"/>
      <c r="W65" s="22"/>
    </row>
    <row r="66" spans="2:23" x14ac:dyDescent="0.25">
      <c r="B66" s="466"/>
      <c r="C66" s="1583"/>
      <c r="D66" s="1583"/>
      <c r="E66" s="1583"/>
      <c r="F66" s="1583"/>
      <c r="G66" s="1583"/>
      <c r="H66" s="1583"/>
      <c r="I66" s="1583"/>
      <c r="J66" s="1583"/>
      <c r="K66" s="1583"/>
      <c r="L66" s="396"/>
      <c r="M66" s="344"/>
      <c r="N66" s="344"/>
      <c r="O66" s="344"/>
      <c r="P66" s="344"/>
      <c r="Q66" s="1583"/>
      <c r="R66" s="344"/>
      <c r="S66" s="2921" t="str">
        <f>'Statistik Forum Data'!S75:U75</f>
        <v>Banda Aceh,               2020</v>
      </c>
      <c r="T66" s="2921"/>
      <c r="U66" s="2921"/>
      <c r="V66" s="936"/>
      <c r="W66" s="102"/>
    </row>
    <row r="67" spans="2:23" x14ac:dyDescent="0.25">
      <c r="B67" s="466"/>
      <c r="C67" s="1583"/>
      <c r="D67" s="1583"/>
      <c r="E67" s="1583"/>
      <c r="F67" s="1583"/>
      <c r="G67" s="1583"/>
      <c r="H67" s="1583"/>
      <c r="I67" s="1583"/>
      <c r="J67" s="1583"/>
      <c r="K67" s="1583"/>
      <c r="L67" s="1606" t="str">
        <f>'Statistik Forum Data'!L76</f>
        <v>Mengesahkan,</v>
      </c>
      <c r="M67" s="344"/>
      <c r="N67" s="344"/>
      <c r="O67" s="344"/>
      <c r="P67" s="344"/>
      <c r="Q67" s="1583"/>
      <c r="R67" s="344"/>
      <c r="S67" s="2922" t="str">
        <f>'Statistik Forum Data'!S76:U76</f>
        <v>Pengguna Anggaran</v>
      </c>
      <c r="T67" s="2922"/>
      <c r="U67" s="2922"/>
      <c r="V67" s="397"/>
      <c r="W67" s="103"/>
    </row>
    <row r="68" spans="2:23" x14ac:dyDescent="0.25">
      <c r="B68" s="466"/>
      <c r="C68" s="1583"/>
      <c r="D68" s="1583"/>
      <c r="E68" s="1583"/>
      <c r="F68" s="1583"/>
      <c r="G68" s="1583"/>
      <c r="H68" s="1583"/>
      <c r="I68" s="1583"/>
      <c r="J68" s="1583"/>
      <c r="K68" s="1583"/>
      <c r="L68" s="1606" t="str">
        <f>'Statistik Forum Data'!L77</f>
        <v>Pejabat Pengelola Keuangan Daerah</v>
      </c>
      <c r="M68" s="344"/>
      <c r="N68" s="344"/>
      <c r="O68" s="344"/>
      <c r="P68" s="344"/>
      <c r="Q68" s="1583"/>
      <c r="R68" s="344"/>
      <c r="S68" s="2922" t="str">
        <f>'Statistik Forum Data'!S77:U77</f>
        <v xml:space="preserve"> Satuan Kerja Perangkat Daerah </v>
      </c>
      <c r="T68" s="2922"/>
      <c r="U68" s="2922"/>
      <c r="V68" s="397"/>
      <c r="W68" s="102"/>
    </row>
    <row r="69" spans="2:23" x14ac:dyDescent="0.25">
      <c r="B69" s="466"/>
      <c r="C69" s="1583"/>
      <c r="D69" s="1583"/>
      <c r="E69" s="1583"/>
      <c r="F69" s="1583"/>
      <c r="G69" s="1583"/>
      <c r="H69" s="1583"/>
      <c r="I69" s="1583"/>
      <c r="J69" s="1583"/>
      <c r="K69" s="1583"/>
      <c r="L69" s="394"/>
      <c r="M69" s="344"/>
      <c r="N69" s="344"/>
      <c r="O69" s="344"/>
      <c r="P69" s="344"/>
      <c r="Q69" s="1583"/>
      <c r="R69" s="344"/>
      <c r="S69" s="937"/>
      <c r="T69" s="938"/>
      <c r="U69" s="938"/>
      <c r="V69" s="939"/>
      <c r="W69" s="104"/>
    </row>
    <row r="70" spans="2:23" x14ac:dyDescent="0.25">
      <c r="B70" s="466"/>
      <c r="C70" s="1583"/>
      <c r="D70" s="1583"/>
      <c r="E70" s="1583"/>
      <c r="F70" s="1583"/>
      <c r="G70" s="1583"/>
      <c r="H70" s="1583"/>
      <c r="I70" s="1583"/>
      <c r="J70" s="1583"/>
      <c r="K70" s="1583"/>
      <c r="L70" s="394"/>
      <c r="M70" s="344"/>
      <c r="N70" s="344"/>
      <c r="O70" s="344"/>
      <c r="P70" s="344"/>
      <c r="Q70" s="1583"/>
      <c r="R70" s="344"/>
      <c r="S70" s="937"/>
      <c r="T70" s="937"/>
      <c r="U70" s="937"/>
      <c r="V70" s="940"/>
      <c r="W70" s="22"/>
    </row>
    <row r="71" spans="2:23" x14ac:dyDescent="0.25">
      <c r="B71" s="466"/>
      <c r="C71" s="1583"/>
      <c r="D71" s="1583"/>
      <c r="E71" s="1583"/>
      <c r="F71" s="1583"/>
      <c r="G71" s="1583"/>
      <c r="H71" s="1583"/>
      <c r="I71" s="1583"/>
      <c r="J71" s="1583"/>
      <c r="K71" s="1583"/>
      <c r="L71" s="941"/>
      <c r="M71" s="344"/>
      <c r="N71" s="344"/>
      <c r="O71" s="344"/>
      <c r="P71" s="344"/>
      <c r="Q71" s="1583"/>
      <c r="R71" s="344"/>
      <c r="S71" s="937"/>
      <c r="T71" s="938"/>
      <c r="U71" s="938"/>
      <c r="V71" s="939"/>
      <c r="W71" s="21"/>
    </row>
    <row r="72" spans="2:23" ht="14.25" customHeight="1" x14ac:dyDescent="0.25">
      <c r="B72" s="466"/>
      <c r="C72" s="1583"/>
      <c r="D72" s="1583"/>
      <c r="E72" s="1583"/>
      <c r="F72" s="1583"/>
      <c r="G72" s="1583"/>
      <c r="H72" s="1583"/>
      <c r="I72" s="1583"/>
      <c r="J72" s="1583"/>
      <c r="K72" s="1583"/>
      <c r="L72" s="942" t="str">
        <f>'Statistik Forum Data'!L81</f>
        <v>M. Iqbal Rokan, S.STP.</v>
      </c>
      <c r="M72" s="344"/>
      <c r="N72" s="344"/>
      <c r="O72" s="344"/>
      <c r="P72" s="344"/>
      <c r="Q72" s="1583"/>
      <c r="R72" s="344"/>
      <c r="S72" s="2923" t="str">
        <f>'Statistik Forum Data'!S81:U81</f>
        <v>Bustami, SH</v>
      </c>
      <c r="T72" s="2923"/>
      <c r="U72" s="2923"/>
      <c r="V72" s="400"/>
    </row>
    <row r="73" spans="2:23" ht="14.25" customHeight="1" x14ac:dyDescent="0.25">
      <c r="B73" s="466"/>
      <c r="C73" s="1583"/>
      <c r="D73" s="1583"/>
      <c r="E73" s="1583"/>
      <c r="F73" s="1583"/>
      <c r="G73" s="1583"/>
      <c r="H73" s="1583"/>
      <c r="I73" s="1583"/>
      <c r="J73" s="1583"/>
      <c r="K73" s="1583"/>
      <c r="L73" s="1606" t="str">
        <f>'Statistik Forum Data'!L82</f>
        <v>Nip. 19780505 199810 1 001</v>
      </c>
      <c r="M73" s="344"/>
      <c r="N73" s="344"/>
      <c r="O73" s="344"/>
      <c r="P73" s="344"/>
      <c r="Q73" s="1583"/>
      <c r="R73" s="344"/>
      <c r="S73" s="2922" t="str">
        <f>'Statistik Forum Data'!S82:U82</f>
        <v>Pembina Utama Muda / Nip. 196308241987031004</v>
      </c>
      <c r="T73" s="2922"/>
      <c r="U73" s="2922"/>
      <c r="V73" s="397"/>
    </row>
    <row r="74" spans="2:23" ht="14.25" customHeight="1" x14ac:dyDescent="0.25">
      <c r="B74" s="466"/>
      <c r="C74" s="1583"/>
      <c r="D74" s="1583"/>
      <c r="E74" s="1583"/>
      <c r="F74" s="1583"/>
      <c r="G74" s="1583"/>
      <c r="H74" s="1583"/>
      <c r="I74" s="1583"/>
      <c r="J74" s="1583"/>
      <c r="K74" s="1583"/>
      <c r="L74" s="1606"/>
      <c r="M74" s="344"/>
      <c r="N74" s="344"/>
      <c r="O74" s="344"/>
      <c r="P74" s="344"/>
      <c r="Q74" s="1583"/>
      <c r="R74" s="344"/>
      <c r="S74" s="1606"/>
      <c r="T74" s="1606"/>
      <c r="U74" s="1606"/>
      <c r="V74" s="943"/>
    </row>
    <row r="75" spans="2:23" ht="14" x14ac:dyDescent="0.25">
      <c r="B75" s="2705" t="s">
        <v>286</v>
      </c>
      <c r="C75" s="2706"/>
      <c r="D75" s="2706"/>
      <c r="E75" s="2706"/>
      <c r="F75" s="2706"/>
      <c r="G75" s="2706"/>
      <c r="H75" s="2706"/>
      <c r="I75" s="2706"/>
      <c r="J75" s="2706"/>
      <c r="K75" s="2706"/>
      <c r="L75" s="2706"/>
      <c r="M75" s="2707" t="s">
        <v>145</v>
      </c>
      <c r="N75" s="2708"/>
      <c r="O75" s="2708"/>
      <c r="P75" s="2708"/>
      <c r="Q75" s="2708"/>
      <c r="R75" s="2708"/>
      <c r="S75" s="2708"/>
      <c r="T75" s="2708"/>
      <c r="U75" s="2708"/>
      <c r="V75" s="2709"/>
    </row>
    <row r="76" spans="2:23" ht="14" x14ac:dyDescent="0.25">
      <c r="B76" s="2893"/>
      <c r="C76" s="2894"/>
      <c r="D76" s="2894"/>
      <c r="E76" s="2894"/>
      <c r="F76" s="2894"/>
      <c r="G76" s="2894"/>
      <c r="H76" s="2894"/>
      <c r="I76" s="2894"/>
      <c r="J76" s="2894"/>
      <c r="K76" s="2894"/>
      <c r="L76" s="2895"/>
      <c r="M76" s="1599" t="s">
        <v>142</v>
      </c>
      <c r="N76" s="2747"/>
      <c r="O76" s="2747"/>
      <c r="P76" s="2747"/>
      <c r="Q76" s="2746" t="s">
        <v>143</v>
      </c>
      <c r="R76" s="2746"/>
      <c r="S76" s="2746"/>
      <c r="T76" s="1597" t="s">
        <v>144</v>
      </c>
      <c r="U76" s="2746" t="s">
        <v>146</v>
      </c>
      <c r="V76" s="2748"/>
    </row>
    <row r="77" spans="2:23" ht="15" customHeight="1" x14ac:dyDescent="0.25">
      <c r="B77" s="2907" t="s">
        <v>293</v>
      </c>
      <c r="C77" s="2908"/>
      <c r="D77" s="2908"/>
      <c r="E77" s="2908"/>
      <c r="F77" s="2908"/>
      <c r="G77" s="2908"/>
      <c r="H77" s="2908"/>
      <c r="I77" s="2908"/>
      <c r="J77" s="2908"/>
      <c r="K77" s="2908"/>
      <c r="L77" s="944">
        <v>0</v>
      </c>
      <c r="M77" s="945">
        <v>1</v>
      </c>
      <c r="N77" s="2896" t="str">
        <f>'Statistik Forum Data'!N86:P86</f>
        <v>Weri, SE. MA</v>
      </c>
      <c r="O77" s="2897"/>
      <c r="P77" s="2897"/>
      <c r="Q77" s="2898" t="str">
        <f>'Statistik Forum Data'!Q86:S86</f>
        <v>19640525 198903 1 026</v>
      </c>
      <c r="R77" s="2563"/>
      <c r="S77" s="2564"/>
      <c r="T77" s="946" t="s">
        <v>302</v>
      </c>
      <c r="U77" s="947" t="s">
        <v>287</v>
      </c>
      <c r="V77" s="451"/>
    </row>
    <row r="78" spans="2:23" ht="14" x14ac:dyDescent="0.25">
      <c r="B78" s="2907" t="s">
        <v>294</v>
      </c>
      <c r="C78" s="2908"/>
      <c r="D78" s="2908"/>
      <c r="E78" s="2908"/>
      <c r="F78" s="2908"/>
      <c r="G78" s="2908"/>
      <c r="H78" s="2908"/>
      <c r="I78" s="2908"/>
      <c r="J78" s="2908"/>
      <c r="K78" s="2908"/>
      <c r="L78" s="944">
        <v>0</v>
      </c>
      <c r="M78" s="945">
        <v>2</v>
      </c>
      <c r="N78" s="2909" t="str">
        <f>'Statistik Forum Data'!N87:P87</f>
        <v>Azmi, SH</v>
      </c>
      <c r="O78" s="2706"/>
      <c r="P78" s="2706"/>
      <c r="Q78" s="2898" t="str">
        <f>'Statistik Forum Data'!Q87:S87</f>
        <v>19680824 199903 1 004</v>
      </c>
      <c r="R78" s="2563"/>
      <c r="S78" s="2564"/>
      <c r="T78" s="946" t="s">
        <v>303</v>
      </c>
      <c r="U78" s="450"/>
      <c r="V78" s="948" t="s">
        <v>128</v>
      </c>
    </row>
    <row r="79" spans="2:23" ht="13.5" customHeight="1" x14ac:dyDescent="0.25">
      <c r="B79" s="2907" t="s">
        <v>295</v>
      </c>
      <c r="C79" s="2908"/>
      <c r="D79" s="2908"/>
      <c r="E79" s="2908"/>
      <c r="F79" s="2908"/>
      <c r="G79" s="2908"/>
      <c r="H79" s="2908"/>
      <c r="I79" s="2908"/>
      <c r="J79" s="2908"/>
      <c r="K79" s="2908"/>
      <c r="L79" s="944">
        <v>0</v>
      </c>
      <c r="M79" s="949">
        <v>3</v>
      </c>
      <c r="N79" s="2909" t="str">
        <f>'Statistik Forum Data'!N88:P88</f>
        <v>Muhammad Syaifuddin Ambia, ST, MT</v>
      </c>
      <c r="O79" s="2706"/>
      <c r="P79" s="2706"/>
      <c r="Q79" s="2898" t="str">
        <f>'Statistik Forum Data'!Q88:S88</f>
        <v>19741010 200604 1 003</v>
      </c>
      <c r="R79" s="2563"/>
      <c r="S79" s="2564"/>
      <c r="T79" s="946" t="s">
        <v>304</v>
      </c>
      <c r="U79" s="950" t="s">
        <v>292</v>
      </c>
      <c r="V79" s="451"/>
    </row>
    <row r="80" spans="2:23" ht="14" x14ac:dyDescent="0.25">
      <c r="B80" s="2907" t="s">
        <v>296</v>
      </c>
      <c r="C80" s="2908"/>
      <c r="D80" s="2908"/>
      <c r="E80" s="2908"/>
      <c r="F80" s="2908"/>
      <c r="G80" s="2908"/>
      <c r="H80" s="2908"/>
      <c r="I80" s="2908"/>
      <c r="J80" s="2908"/>
      <c r="K80" s="2908"/>
      <c r="L80" s="944">
        <v>0</v>
      </c>
      <c r="M80" s="945">
        <v>4</v>
      </c>
      <c r="N80" s="2909" t="str">
        <f>'Statistik Forum Data'!N89:P89</f>
        <v>Basri, SE, M.Si</v>
      </c>
      <c r="O80" s="2706"/>
      <c r="P80" s="2706"/>
      <c r="Q80" s="2898" t="str">
        <f>'Statistik Forum Data'!Q89:S89</f>
        <v>19691213 199403 1 002</v>
      </c>
      <c r="R80" s="2563"/>
      <c r="S80" s="2564"/>
      <c r="T80" s="946" t="s">
        <v>305</v>
      </c>
      <c r="U80" s="450"/>
      <c r="V80" s="948" t="s">
        <v>288</v>
      </c>
    </row>
    <row r="81" spans="2:22" ht="14" x14ac:dyDescent="0.25">
      <c r="B81" s="2907" t="s">
        <v>297</v>
      </c>
      <c r="C81" s="2908"/>
      <c r="D81" s="2908"/>
      <c r="E81" s="2908"/>
      <c r="F81" s="2908"/>
      <c r="G81" s="2908"/>
      <c r="H81" s="2908"/>
      <c r="I81" s="2908"/>
      <c r="J81" s="2908"/>
      <c r="K81" s="2908"/>
      <c r="L81" s="951">
        <f>SUM(L77:L80)</f>
        <v>0</v>
      </c>
      <c r="M81" s="952">
        <v>5</v>
      </c>
      <c r="N81" s="2909" t="str">
        <f>'Statistik Forum Data'!N90:P90</f>
        <v>Dewi Shinta Reza, SE. Ak</v>
      </c>
      <c r="O81" s="2706"/>
      <c r="P81" s="2706"/>
      <c r="Q81" s="2898" t="str">
        <f>'Statistik Forum Data'!Q90:S90</f>
        <v>19750630 200212 2 003</v>
      </c>
      <c r="R81" s="2563"/>
      <c r="S81" s="2564"/>
      <c r="T81" s="946" t="s">
        <v>306</v>
      </c>
      <c r="U81" s="950" t="s">
        <v>289</v>
      </c>
      <c r="V81" s="451"/>
    </row>
    <row r="82" spans="2:22" ht="14" x14ac:dyDescent="0.25">
      <c r="B82" s="2893"/>
      <c r="C82" s="2894"/>
      <c r="D82" s="2894"/>
      <c r="E82" s="2894"/>
      <c r="F82" s="2894"/>
      <c r="G82" s="2894"/>
      <c r="H82" s="2894"/>
      <c r="I82" s="2894"/>
      <c r="J82" s="2894"/>
      <c r="K82" s="2894"/>
      <c r="L82" s="2895"/>
      <c r="M82" s="952">
        <v>6</v>
      </c>
      <c r="N82" s="2896" t="str">
        <f>'Statistik Forum Data'!N91:P91</f>
        <v>Harisman, S.STP, M.Ec.Dev</v>
      </c>
      <c r="O82" s="2897"/>
      <c r="P82" s="2897"/>
      <c r="Q82" s="2898" t="str">
        <f>'Statistik Forum Data'!Q91:S91</f>
        <v>19830101 200112 1 003</v>
      </c>
      <c r="R82" s="2563"/>
      <c r="S82" s="2564"/>
      <c r="T82" s="946" t="s">
        <v>307</v>
      </c>
      <c r="U82" s="450"/>
      <c r="V82" s="948" t="s">
        <v>290</v>
      </c>
    </row>
    <row r="83" spans="2:22" ht="14.5" thickBot="1" x14ac:dyDescent="0.3">
      <c r="B83" s="2899"/>
      <c r="C83" s="2900"/>
      <c r="D83" s="2900"/>
      <c r="E83" s="2900"/>
      <c r="F83" s="2900"/>
      <c r="G83" s="2900"/>
      <c r="H83" s="2900"/>
      <c r="I83" s="2900"/>
      <c r="J83" s="2900"/>
      <c r="K83" s="2900"/>
      <c r="L83" s="2901"/>
      <c r="M83" s="953">
        <v>7</v>
      </c>
      <c r="N83" s="2902" t="str">
        <f>'Statistik Forum Data'!N92:P92</f>
        <v>Alriandi, S.STP, M.Si</v>
      </c>
      <c r="O83" s="2903"/>
      <c r="P83" s="2903"/>
      <c r="Q83" s="2904" t="str">
        <f>'Statistik Forum Data'!Q92:S92</f>
        <v>19830308 200112 1 001</v>
      </c>
      <c r="R83" s="2905"/>
      <c r="S83" s="2906"/>
      <c r="T83" s="954" t="s">
        <v>308</v>
      </c>
      <c r="U83" s="955" t="s">
        <v>291</v>
      </c>
      <c r="V83" s="956"/>
    </row>
    <row r="84" spans="2:22" ht="13" thickTop="1" x14ac:dyDescent="0.25">
      <c r="B84" s="1596"/>
      <c r="C84" s="1596"/>
      <c r="D84" s="1596"/>
      <c r="E84" s="1596"/>
      <c r="F84" s="1596"/>
      <c r="G84" s="1596"/>
      <c r="H84" s="1596"/>
      <c r="I84" s="1596"/>
      <c r="J84" s="1596"/>
      <c r="K84" s="1596"/>
      <c r="L84" s="1596"/>
      <c r="M84" s="1596"/>
      <c r="N84" s="1596"/>
      <c r="O84" s="1596"/>
      <c r="P84" s="1596"/>
    </row>
    <row r="85" spans="2:22" x14ac:dyDescent="0.25">
      <c r="B85" s="1596"/>
      <c r="C85" s="1596"/>
      <c r="D85" s="1596"/>
      <c r="E85" s="1596"/>
      <c r="F85" s="1596"/>
      <c r="G85" s="1596"/>
      <c r="H85" s="1596"/>
      <c r="I85" s="1596"/>
      <c r="J85" s="1596"/>
      <c r="K85" s="1596"/>
      <c r="L85" s="1596"/>
      <c r="M85" s="1596"/>
      <c r="N85" s="1596"/>
      <c r="O85" s="1596"/>
      <c r="P85" s="1596"/>
    </row>
    <row r="86" spans="2:22" x14ac:dyDescent="0.25">
      <c r="B86" s="1596"/>
      <c r="C86" s="1596"/>
      <c r="D86" s="1596"/>
      <c r="E86" s="1596"/>
      <c r="F86" s="1596"/>
      <c r="G86" s="1596"/>
      <c r="H86" s="1596"/>
      <c r="I86" s="1596"/>
      <c r="J86" s="1596"/>
      <c r="K86" s="1596"/>
      <c r="L86" s="1596"/>
      <c r="M86" s="1596"/>
      <c r="N86" s="1596"/>
      <c r="O86" s="1596"/>
      <c r="P86" s="1596"/>
    </row>
    <row r="87" spans="2:22" x14ac:dyDescent="0.25">
      <c r="B87" s="1596"/>
      <c r="C87" s="1596"/>
      <c r="D87" s="1596"/>
      <c r="E87" s="1596"/>
      <c r="F87" s="1596"/>
      <c r="G87" s="1596"/>
      <c r="H87" s="1596"/>
      <c r="I87" s="1596"/>
      <c r="J87" s="1596"/>
      <c r="K87" s="1596"/>
      <c r="L87" s="1596"/>
      <c r="M87" s="1596"/>
      <c r="N87" s="1596"/>
      <c r="O87" s="1596"/>
      <c r="P87" s="1596"/>
    </row>
    <row r="88" spans="2:22" x14ac:dyDescent="0.25">
      <c r="B88" s="1596"/>
      <c r="C88" s="1596"/>
      <c r="D88" s="1596"/>
      <c r="E88" s="1596"/>
      <c r="F88" s="1596"/>
      <c r="G88" s="1596"/>
      <c r="H88" s="1596"/>
      <c r="I88" s="1596"/>
      <c r="J88" s="1596"/>
      <c r="K88" s="1596"/>
      <c r="L88" s="1596"/>
      <c r="M88" s="1596"/>
      <c r="N88" s="1596"/>
      <c r="O88" s="1596"/>
      <c r="P88" s="1596"/>
    </row>
    <row r="89" spans="2:22" x14ac:dyDescent="0.25">
      <c r="B89" s="1596"/>
      <c r="C89" s="1596"/>
      <c r="D89" s="1596"/>
      <c r="E89" s="1596"/>
      <c r="F89" s="1596"/>
      <c r="G89" s="1596"/>
      <c r="H89" s="1596"/>
      <c r="I89" s="1596"/>
      <c r="J89" s="1596"/>
      <c r="K89" s="1596"/>
      <c r="L89" s="1596"/>
      <c r="M89" s="1596"/>
      <c r="N89" s="1596"/>
      <c r="O89" s="1596"/>
      <c r="P89" s="1596"/>
    </row>
    <row r="90" spans="2:22" x14ac:dyDescent="0.25">
      <c r="B90" s="1596"/>
      <c r="C90" s="1596"/>
      <c r="D90" s="1596"/>
      <c r="E90" s="1596"/>
      <c r="F90" s="1596"/>
      <c r="G90" s="1596"/>
      <c r="H90" s="1596"/>
      <c r="I90" s="1596"/>
      <c r="J90" s="1596"/>
      <c r="K90" s="1596"/>
      <c r="L90" s="1596"/>
      <c r="M90" s="1596"/>
      <c r="N90" s="1596"/>
      <c r="O90" s="1596"/>
      <c r="P90" s="1596"/>
    </row>
    <row r="91" spans="2:22" x14ac:dyDescent="0.25">
      <c r="B91" s="1596"/>
      <c r="C91" s="1596"/>
      <c r="D91" s="1596"/>
      <c r="E91" s="1596"/>
      <c r="F91" s="1596"/>
      <c r="G91" s="1596"/>
      <c r="H91" s="1596"/>
      <c r="I91" s="1596"/>
      <c r="J91" s="1596"/>
      <c r="K91" s="1596"/>
      <c r="L91" s="1596"/>
      <c r="M91" s="1596"/>
      <c r="N91" s="1596"/>
      <c r="O91" s="1596"/>
      <c r="P91" s="1596"/>
    </row>
    <row r="92" spans="2:22" x14ac:dyDescent="0.25">
      <c r="B92" s="1596"/>
      <c r="C92" s="1596"/>
      <c r="D92" s="1596"/>
      <c r="E92" s="1596"/>
      <c r="F92" s="1596"/>
      <c r="G92" s="1596"/>
      <c r="H92" s="1596"/>
      <c r="I92" s="1596"/>
      <c r="J92" s="1596"/>
      <c r="K92" s="1596"/>
      <c r="L92" s="1596"/>
      <c r="M92" s="1596"/>
      <c r="N92" s="1596"/>
      <c r="O92" s="1596"/>
      <c r="P92" s="1596"/>
    </row>
    <row r="93" spans="2:22" x14ac:dyDescent="0.25">
      <c r="B93" s="1596"/>
      <c r="C93" s="1596"/>
      <c r="D93" s="1596"/>
      <c r="E93" s="1596"/>
      <c r="F93" s="1596"/>
      <c r="G93" s="1596"/>
      <c r="H93" s="1596"/>
      <c r="I93" s="1596"/>
      <c r="J93" s="1596"/>
      <c r="K93" s="1596"/>
      <c r="L93" s="1596"/>
      <c r="M93" s="1596"/>
      <c r="N93" s="1596"/>
      <c r="O93" s="1596"/>
      <c r="P93" s="1596"/>
    </row>
    <row r="94" spans="2:22" x14ac:dyDescent="0.25">
      <c r="B94" s="1596"/>
      <c r="C94" s="1596"/>
      <c r="D94" s="1596"/>
      <c r="E94" s="1596"/>
      <c r="F94" s="1596"/>
      <c r="G94" s="1596"/>
      <c r="H94" s="1596"/>
      <c r="I94" s="1596"/>
      <c r="J94" s="1596"/>
      <c r="K94" s="1596"/>
      <c r="L94" s="1596"/>
      <c r="M94" s="1596"/>
      <c r="N94" s="1596"/>
      <c r="O94" s="1596"/>
      <c r="P94" s="1596"/>
    </row>
    <row r="95" spans="2:22" x14ac:dyDescent="0.25">
      <c r="B95" s="1596"/>
      <c r="C95" s="1596"/>
      <c r="D95" s="1596"/>
      <c r="E95" s="1596"/>
      <c r="F95" s="1596"/>
      <c r="G95" s="1596"/>
      <c r="H95" s="1596"/>
      <c r="I95" s="1596"/>
      <c r="J95" s="1596"/>
      <c r="K95" s="1596"/>
      <c r="L95" s="1596"/>
      <c r="M95" s="1596"/>
      <c r="N95" s="1596"/>
      <c r="O95" s="1596"/>
      <c r="P95" s="1596"/>
    </row>
    <row r="96" spans="2:22" x14ac:dyDescent="0.25">
      <c r="B96" s="1596"/>
      <c r="C96" s="1596"/>
      <c r="D96" s="1596"/>
      <c r="E96" s="1596"/>
      <c r="F96" s="1596"/>
      <c r="G96" s="1596"/>
      <c r="H96" s="1596"/>
      <c r="I96" s="1596"/>
      <c r="J96" s="1596"/>
      <c r="K96" s="1596"/>
      <c r="L96" s="1596"/>
      <c r="M96" s="1596"/>
      <c r="N96" s="1596"/>
      <c r="O96" s="1596"/>
      <c r="P96" s="1596"/>
    </row>
    <row r="97" spans="2:16" x14ac:dyDescent="0.25">
      <c r="B97" s="1596"/>
      <c r="C97" s="1596"/>
      <c r="D97" s="1596"/>
      <c r="E97" s="1596"/>
      <c r="F97" s="1596"/>
      <c r="G97" s="1596"/>
      <c r="H97" s="1596"/>
      <c r="I97" s="1596"/>
      <c r="J97" s="1596"/>
      <c r="K97" s="1596"/>
      <c r="L97" s="1596"/>
      <c r="M97" s="1596"/>
      <c r="N97" s="1596"/>
      <c r="O97" s="1596"/>
      <c r="P97" s="1596"/>
    </row>
    <row r="98" spans="2:16" x14ac:dyDescent="0.25">
      <c r="B98" s="1596"/>
      <c r="C98" s="1596"/>
      <c r="D98" s="1596"/>
      <c r="E98" s="1596"/>
      <c r="F98" s="1596"/>
      <c r="G98" s="1596"/>
      <c r="H98" s="1596"/>
      <c r="I98" s="1596"/>
      <c r="J98" s="1596"/>
      <c r="K98" s="1596"/>
      <c r="L98" s="1596"/>
      <c r="M98" s="1596"/>
      <c r="N98" s="1596"/>
      <c r="O98" s="1596"/>
      <c r="P98" s="1596"/>
    </row>
    <row r="99" spans="2:16" x14ac:dyDescent="0.25">
      <c r="B99" s="1596"/>
      <c r="C99" s="1596"/>
      <c r="D99" s="1596"/>
      <c r="E99" s="1596"/>
      <c r="F99" s="1596"/>
      <c r="G99" s="1596"/>
      <c r="H99" s="1596"/>
      <c r="I99" s="1596"/>
      <c r="J99" s="1596"/>
      <c r="K99" s="1596"/>
      <c r="L99" s="1596"/>
      <c r="M99" s="1596"/>
      <c r="N99" s="1596"/>
      <c r="O99" s="1596"/>
      <c r="P99" s="1596"/>
    </row>
    <row r="100" spans="2:16" x14ac:dyDescent="0.25">
      <c r="B100" s="1596"/>
      <c r="C100" s="1596"/>
      <c r="D100" s="1596"/>
      <c r="E100" s="1596"/>
      <c r="F100" s="1596"/>
      <c r="G100" s="1596"/>
      <c r="H100" s="1596"/>
      <c r="I100" s="1596"/>
      <c r="J100" s="1596"/>
      <c r="K100" s="1596"/>
      <c r="L100" s="1596"/>
      <c r="M100" s="1596"/>
      <c r="N100" s="1596"/>
      <c r="O100" s="1596"/>
      <c r="P100" s="1596"/>
    </row>
  </sheetData>
  <mergeCells count="98">
    <mergeCell ref="B83:L83"/>
    <mergeCell ref="N83:P83"/>
    <mergeCell ref="Q83:S83"/>
    <mergeCell ref="B81:K81"/>
    <mergeCell ref="N81:P81"/>
    <mergeCell ref="Q81:S81"/>
    <mergeCell ref="B82:L82"/>
    <mergeCell ref="N82:P82"/>
    <mergeCell ref="Q82:S82"/>
    <mergeCell ref="B79:K79"/>
    <mergeCell ref="N79:P79"/>
    <mergeCell ref="Q79:S79"/>
    <mergeCell ref="B80:K80"/>
    <mergeCell ref="N80:P80"/>
    <mergeCell ref="Q80:S80"/>
    <mergeCell ref="B77:K77"/>
    <mergeCell ref="N77:P77"/>
    <mergeCell ref="Q77:S77"/>
    <mergeCell ref="B78:K78"/>
    <mergeCell ref="N78:P78"/>
    <mergeCell ref="Q78:S78"/>
    <mergeCell ref="B76:L76"/>
    <mergeCell ref="N76:P76"/>
    <mergeCell ref="Q76:S76"/>
    <mergeCell ref="U76:V76"/>
    <mergeCell ref="B27:K27"/>
    <mergeCell ref="B64:O64"/>
    <mergeCell ref="Q64:S64"/>
    <mergeCell ref="B65:V65"/>
    <mergeCell ref="S66:U66"/>
    <mergeCell ref="S67:U67"/>
    <mergeCell ref="S68:U68"/>
    <mergeCell ref="S72:U72"/>
    <mergeCell ref="S73:U73"/>
    <mergeCell ref="B75:L75"/>
    <mergeCell ref="M75:V75"/>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1:K11"/>
    <mergeCell ref="M11:V11"/>
    <mergeCell ref="B12:L12"/>
    <mergeCell ref="M12:V12"/>
    <mergeCell ref="B13:V13"/>
    <mergeCell ref="B14:K15"/>
    <mergeCell ref="L14:P14"/>
    <mergeCell ref="Q14:V14"/>
    <mergeCell ref="M15:P15"/>
    <mergeCell ref="Q15:S15"/>
    <mergeCell ref="T15:V15"/>
    <mergeCell ref="B16:K16"/>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pageMargins left="0.511811023622047" right="1.0255905510000001" top="0.511811023622047" bottom="0.47244094488188998" header="0.31496062992126" footer="0.31496062992126"/>
  <pageSetup paperSize="5" scale="51" orientation="landscape" horizontalDpi="4294967293" verticalDpi="4294967293" r:id="rId1"/>
  <rowBreaks count="1" manualBreakCount="1">
    <brk id="65" min="1" max="21"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X140"/>
  <sheetViews>
    <sheetView view="pageBreakPreview" topLeftCell="A49" zoomScale="73" zoomScaleNormal="60" zoomScaleSheetLayoutView="70" workbookViewId="0">
      <selection activeCell="T60" sqref="T60"/>
    </sheetView>
  </sheetViews>
  <sheetFormatPr defaultColWidth="8.7265625" defaultRowHeight="12.5" x14ac:dyDescent="0.25"/>
  <cols>
    <col min="1" max="1" width="4.542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1.54296875" style="341" customWidth="1"/>
    <col min="17" max="17" width="9" style="341" customWidth="1"/>
    <col min="18" max="18" width="8" style="341" customWidth="1"/>
    <col min="19" max="19" width="15.1796875" style="341" customWidth="1"/>
    <col min="20" max="20" width="22.4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313</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'Statistik Forum Data'!B5:V5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412"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413"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419" t="s">
        <v>148</v>
      </c>
      <c r="M8" s="2862" t="s">
        <v>279</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449</v>
      </c>
      <c r="M9" s="2866" t="s">
        <v>450</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'Statistik Forum Data'!M10:V10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90</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416" t="s">
        <v>270</v>
      </c>
      <c r="M15" s="2859" t="s">
        <v>281</v>
      </c>
      <c r="N15" s="2851"/>
      <c r="O15" s="2851"/>
      <c r="P15" s="2860"/>
      <c r="Q15" s="2713" t="s">
        <v>270</v>
      </c>
      <c r="R15" s="2713"/>
      <c r="S15" s="2713"/>
      <c r="T15" s="2713" t="s">
        <v>281</v>
      </c>
      <c r="U15" s="2713"/>
      <c r="V15" s="2861"/>
      <c r="W15" s="520"/>
    </row>
    <row r="16" spans="2:24" ht="40.5" customHeight="1" x14ac:dyDescent="0.25">
      <c r="B16" s="2834" t="s">
        <v>14</v>
      </c>
      <c r="C16" s="2835"/>
      <c r="D16" s="2835"/>
      <c r="E16" s="2835"/>
      <c r="F16" s="2835"/>
      <c r="G16" s="2835"/>
      <c r="H16" s="2835"/>
      <c r="I16" s="2835"/>
      <c r="J16" s="2835"/>
      <c r="K16" s="2836"/>
      <c r="L16" s="811" t="s">
        <v>452</v>
      </c>
      <c r="M16" s="2507" t="s">
        <v>508</v>
      </c>
      <c r="N16" s="2508"/>
      <c r="O16" s="2508"/>
      <c r="P16" s="2886"/>
      <c r="Q16" s="2830">
        <v>1</v>
      </c>
      <c r="R16" s="2616"/>
      <c r="S16" s="2616"/>
      <c r="T16" s="2831">
        <v>1</v>
      </c>
      <c r="U16" s="2832"/>
      <c r="V16" s="2833"/>
      <c r="W16" s="522"/>
      <c r="X16" s="523"/>
    </row>
    <row r="17" spans="2:22" ht="14" x14ac:dyDescent="0.3">
      <c r="B17" s="2817" t="s">
        <v>135</v>
      </c>
      <c r="C17" s="2818"/>
      <c r="D17" s="2818"/>
      <c r="E17" s="2818"/>
      <c r="F17" s="2818"/>
      <c r="G17" s="2818"/>
      <c r="H17" s="2818"/>
      <c r="I17" s="2818"/>
      <c r="J17" s="2818"/>
      <c r="K17" s="2819"/>
      <c r="L17" s="524" t="s">
        <v>430</v>
      </c>
      <c r="M17" s="2838" t="str">
        <f>L17</f>
        <v>Jumlah Dana Yang Dibutuhkan</v>
      </c>
      <c r="N17" s="2838"/>
      <c r="O17" s="2838"/>
      <c r="P17" s="2838"/>
      <c r="Q17" s="2839">
        <f>P28</f>
        <v>467490200</v>
      </c>
      <c r="R17" s="2840"/>
      <c r="S17" s="2841"/>
      <c r="T17" s="2842">
        <f>T28</f>
        <v>388505100</v>
      </c>
      <c r="U17" s="2842"/>
      <c r="V17" s="2843"/>
    </row>
    <row r="18" spans="2:22" ht="25" x14ac:dyDescent="0.25">
      <c r="B18" s="2834" t="s">
        <v>136</v>
      </c>
      <c r="C18" s="2835"/>
      <c r="D18" s="2835"/>
      <c r="E18" s="2835"/>
      <c r="F18" s="2835"/>
      <c r="G18" s="2835"/>
      <c r="H18" s="2835"/>
      <c r="I18" s="2835"/>
      <c r="J18" s="2835"/>
      <c r="K18" s="2836"/>
      <c r="L18" s="524" t="s">
        <v>509</v>
      </c>
      <c r="M18" s="2820" t="s">
        <v>509</v>
      </c>
      <c r="N18" s="2820"/>
      <c r="O18" s="2820"/>
      <c r="P18" s="2820"/>
      <c r="Q18" s="2616" t="s">
        <v>510</v>
      </c>
      <c r="R18" s="2616"/>
      <c r="S18" s="2616"/>
      <c r="T18" s="2616" t="s">
        <v>510</v>
      </c>
      <c r="U18" s="2616"/>
      <c r="V18" s="2837"/>
    </row>
    <row r="19" spans="2:22" ht="25" x14ac:dyDescent="0.25">
      <c r="B19" s="2834" t="s">
        <v>137</v>
      </c>
      <c r="C19" s="2835"/>
      <c r="D19" s="2835"/>
      <c r="E19" s="2835"/>
      <c r="F19" s="2835"/>
      <c r="G19" s="2835"/>
      <c r="H19" s="2835"/>
      <c r="I19" s="2835"/>
      <c r="J19" s="2835"/>
      <c r="K19" s="2836"/>
      <c r="L19" s="524" t="s">
        <v>525</v>
      </c>
      <c r="M19" s="2875" t="s">
        <v>525</v>
      </c>
      <c r="N19" s="2875"/>
      <c r="O19" s="2875"/>
      <c r="P19" s="2875"/>
      <c r="Q19" s="2830">
        <v>0.9</v>
      </c>
      <c r="R19" s="2616"/>
      <c r="S19" s="2616"/>
      <c r="T19" s="2830">
        <v>0.9</v>
      </c>
      <c r="U19" s="2616"/>
      <c r="V19" s="2837"/>
    </row>
    <row r="20" spans="2:22" ht="14.25" customHeight="1" x14ac:dyDescent="0.3">
      <c r="B20" s="2824" t="s">
        <v>451</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414" t="s">
        <v>7</v>
      </c>
      <c r="Q27" s="147">
        <v>7</v>
      </c>
      <c r="R27" s="147">
        <v>8</v>
      </c>
      <c r="S27" s="86">
        <v>9</v>
      </c>
      <c r="T27" s="90" t="s">
        <v>275</v>
      </c>
      <c r="U27" s="92" t="s">
        <v>274</v>
      </c>
      <c r="V27" s="93">
        <v>12</v>
      </c>
    </row>
    <row r="28" spans="2:22" ht="13" thickTop="1" x14ac:dyDescent="0.25">
      <c r="B28" s="817">
        <v>1</v>
      </c>
      <c r="C28" s="818" t="s">
        <v>239</v>
      </c>
      <c r="D28" s="818" t="s">
        <v>84</v>
      </c>
      <c r="E28" s="819"/>
      <c r="F28" s="656"/>
      <c r="G28" s="656">
        <v>5</v>
      </c>
      <c r="H28" s="656">
        <v>2</v>
      </c>
      <c r="I28" s="820"/>
      <c r="J28" s="821"/>
      <c r="K28" s="821"/>
      <c r="L28" s="822" t="s">
        <v>54</v>
      </c>
      <c r="M28" s="823"/>
      <c r="N28" s="824"/>
      <c r="O28" s="825"/>
      <c r="P28" s="868">
        <f>P29</f>
        <v>467490200</v>
      </c>
      <c r="Q28" s="872"/>
      <c r="R28" s="874"/>
      <c r="S28" s="874"/>
      <c r="T28" s="875">
        <f>T29</f>
        <v>388505100</v>
      </c>
      <c r="U28" s="882">
        <f>SUM(T28)-P28</f>
        <v>-78985100</v>
      </c>
      <c r="V28" s="425"/>
    </row>
    <row r="29" spans="2:22" ht="25" x14ac:dyDescent="0.25">
      <c r="B29" s="654">
        <v>1</v>
      </c>
      <c r="C29" s="570" t="s">
        <v>239</v>
      </c>
      <c r="D29" s="570" t="s">
        <v>84</v>
      </c>
      <c r="E29" s="826">
        <v>15</v>
      </c>
      <c r="F29" s="827"/>
      <c r="G29" s="827"/>
      <c r="H29" s="827"/>
      <c r="I29" s="827"/>
      <c r="J29" s="828"/>
      <c r="K29" s="828"/>
      <c r="L29" s="1939" t="s">
        <v>447</v>
      </c>
      <c r="M29" s="829"/>
      <c r="N29" s="1967"/>
      <c r="O29" s="1968"/>
      <c r="P29" s="868">
        <f>P30</f>
        <v>467490200</v>
      </c>
      <c r="Q29" s="829"/>
      <c r="R29" s="883"/>
      <c r="S29" s="884"/>
      <c r="T29" s="876">
        <f>T30</f>
        <v>388505100</v>
      </c>
      <c r="U29" s="756">
        <f>SUM(T29)-P29</f>
        <v>-78985100</v>
      </c>
      <c r="V29" s="761"/>
    </row>
    <row r="30" spans="2:22" ht="29.15" customHeight="1" x14ac:dyDescent="0.25">
      <c r="B30" s="654">
        <v>1</v>
      </c>
      <c r="C30" s="570" t="s">
        <v>239</v>
      </c>
      <c r="D30" s="570" t="s">
        <v>84</v>
      </c>
      <c r="E30" s="827">
        <v>15</v>
      </c>
      <c r="F30" s="798" t="s">
        <v>97</v>
      </c>
      <c r="G30" s="827"/>
      <c r="H30" s="827"/>
      <c r="I30" s="798"/>
      <c r="J30" s="828"/>
      <c r="K30" s="828"/>
      <c r="L30" s="1969" t="s">
        <v>450</v>
      </c>
      <c r="M30" s="830"/>
      <c r="N30" s="1807"/>
      <c r="O30" s="1970"/>
      <c r="P30" s="868">
        <f>SUM(P32+P60)</f>
        <v>467490200</v>
      </c>
      <c r="Q30" s="830"/>
      <c r="R30" s="803"/>
      <c r="S30" s="832"/>
      <c r="T30" s="876">
        <f>SUM(T32+T60)</f>
        <v>388505100</v>
      </c>
      <c r="U30" s="756">
        <f>SUM(T30)-P30</f>
        <v>-78985100</v>
      </c>
      <c r="V30" s="761"/>
    </row>
    <row r="31" spans="2:22" ht="12" customHeight="1" x14ac:dyDescent="0.25">
      <c r="B31" s="654"/>
      <c r="C31" s="570"/>
      <c r="D31" s="570"/>
      <c r="E31" s="826"/>
      <c r="F31" s="570"/>
      <c r="G31" s="474"/>
      <c r="H31" s="474"/>
      <c r="I31" s="474"/>
      <c r="J31" s="828"/>
      <c r="K31" s="831"/>
      <c r="L31" s="1971"/>
      <c r="M31" s="829"/>
      <c r="N31" s="1967"/>
      <c r="O31" s="1968"/>
      <c r="P31" s="547"/>
      <c r="Q31" s="829"/>
      <c r="R31" s="883"/>
      <c r="S31" s="884"/>
      <c r="T31" s="876"/>
      <c r="U31" s="756"/>
      <c r="V31" s="761"/>
    </row>
    <row r="32" spans="2:22" x14ac:dyDescent="0.25">
      <c r="B32" s="654">
        <v>1</v>
      </c>
      <c r="C32" s="570" t="s">
        <v>239</v>
      </c>
      <c r="D32" s="570" t="s">
        <v>84</v>
      </c>
      <c r="E32" s="827">
        <v>15</v>
      </c>
      <c r="F32" s="798" t="s">
        <v>97</v>
      </c>
      <c r="G32" s="807">
        <v>5</v>
      </c>
      <c r="H32" s="807">
        <v>2</v>
      </c>
      <c r="I32" s="807">
        <v>1</v>
      </c>
      <c r="J32" s="807"/>
      <c r="K32" s="807"/>
      <c r="L32" s="1972" t="s">
        <v>39</v>
      </c>
      <c r="M32" s="830"/>
      <c r="N32" s="803"/>
      <c r="O32" s="832"/>
      <c r="P32" s="869">
        <f>P33+P52</f>
        <v>78500000</v>
      </c>
      <c r="Q32" s="830"/>
      <c r="R32" s="803"/>
      <c r="S32" s="832"/>
      <c r="T32" s="877">
        <f>T33</f>
        <v>1800000</v>
      </c>
      <c r="U32" s="756">
        <f>SUM(T32)-P32</f>
        <v>-76700000</v>
      </c>
      <c r="V32" s="761"/>
    </row>
    <row r="33" spans="2:22" x14ac:dyDescent="0.25">
      <c r="B33" s="654">
        <v>1</v>
      </c>
      <c r="C33" s="570" t="s">
        <v>239</v>
      </c>
      <c r="D33" s="570" t="s">
        <v>84</v>
      </c>
      <c r="E33" s="827">
        <v>15</v>
      </c>
      <c r="F33" s="798" t="s">
        <v>97</v>
      </c>
      <c r="G33" s="807">
        <v>5</v>
      </c>
      <c r="H33" s="807">
        <v>2</v>
      </c>
      <c r="I33" s="807">
        <v>1</v>
      </c>
      <c r="J33" s="833" t="s">
        <v>84</v>
      </c>
      <c r="K33" s="807"/>
      <c r="L33" s="1973" t="s">
        <v>96</v>
      </c>
      <c r="M33" s="830"/>
      <c r="N33" s="834"/>
      <c r="O33" s="835"/>
      <c r="P33" s="869">
        <f>SUM(P34+P37)</f>
        <v>67200000</v>
      </c>
      <c r="Q33" s="830"/>
      <c r="R33" s="834"/>
      <c r="S33" s="835"/>
      <c r="T33" s="877">
        <f>SUM(T34)</f>
        <v>1800000</v>
      </c>
      <c r="U33" s="756">
        <f>SUM(T33)-P33</f>
        <v>-65400000</v>
      </c>
      <c r="V33" s="439">
        <f>U33/P33*100</f>
        <v>-97.321428571428569</v>
      </c>
    </row>
    <row r="34" spans="2:22" x14ac:dyDescent="0.25">
      <c r="B34" s="654">
        <v>1</v>
      </c>
      <c r="C34" s="570" t="s">
        <v>239</v>
      </c>
      <c r="D34" s="570" t="s">
        <v>84</v>
      </c>
      <c r="E34" s="827">
        <v>15</v>
      </c>
      <c r="F34" s="798" t="s">
        <v>97</v>
      </c>
      <c r="G34" s="807">
        <v>5</v>
      </c>
      <c r="H34" s="807">
        <v>2</v>
      </c>
      <c r="I34" s="807">
        <v>1</v>
      </c>
      <c r="J34" s="833" t="s">
        <v>84</v>
      </c>
      <c r="K34" s="833" t="s">
        <v>84</v>
      </c>
      <c r="L34" s="836" t="s">
        <v>85</v>
      </c>
      <c r="M34" s="604"/>
      <c r="N34" s="605"/>
      <c r="O34" s="803"/>
      <c r="P34" s="870">
        <f>P35</f>
        <v>1650000</v>
      </c>
      <c r="Q34" s="604"/>
      <c r="R34" s="803"/>
      <c r="S34" s="803"/>
      <c r="T34" s="610">
        <f>T35</f>
        <v>1800000</v>
      </c>
      <c r="U34" s="756">
        <f>SUM(T34)-P34</f>
        <v>150000</v>
      </c>
      <c r="V34" s="761"/>
    </row>
    <row r="35" spans="2:22" x14ac:dyDescent="0.25">
      <c r="B35" s="837"/>
      <c r="C35" s="833"/>
      <c r="D35" s="833"/>
      <c r="E35" s="838"/>
      <c r="F35" s="833"/>
      <c r="G35" s="807"/>
      <c r="H35" s="807"/>
      <c r="I35" s="807"/>
      <c r="J35" s="833"/>
      <c r="K35" s="833"/>
      <c r="L35" s="1974" t="s">
        <v>731</v>
      </c>
      <c r="M35" s="604">
        <v>6</v>
      </c>
      <c r="N35" s="1738" t="s">
        <v>82</v>
      </c>
      <c r="O35" s="1739">
        <v>275000</v>
      </c>
      <c r="P35" s="1860">
        <f>O35*M35</f>
        <v>1650000</v>
      </c>
      <c r="Q35" s="604">
        <v>6</v>
      </c>
      <c r="R35" s="803" t="s">
        <v>82</v>
      </c>
      <c r="S35" s="606">
        <v>300000</v>
      </c>
      <c r="T35" s="610">
        <f>S35*Q35</f>
        <v>1800000</v>
      </c>
      <c r="U35" s="756">
        <f>SUM(T35)-P35</f>
        <v>150000</v>
      </c>
      <c r="V35" s="761"/>
    </row>
    <row r="36" spans="2:22" ht="13.5" customHeight="1" x14ac:dyDescent="0.25">
      <c r="B36" s="839"/>
      <c r="C36" s="840"/>
      <c r="D36" s="840"/>
      <c r="E36" s="841"/>
      <c r="F36" s="840"/>
      <c r="G36" s="842"/>
      <c r="H36" s="842"/>
      <c r="I36" s="842"/>
      <c r="J36" s="843"/>
      <c r="K36" s="1975"/>
      <c r="L36" s="1976"/>
      <c r="M36" s="1977"/>
      <c r="N36" s="1978"/>
      <c r="O36" s="1979"/>
      <c r="P36" s="2026"/>
      <c r="Q36" s="844"/>
      <c r="R36" s="1686"/>
      <c r="S36" s="887"/>
      <c r="T36" s="888"/>
      <c r="U36" s="675"/>
      <c r="V36" s="761"/>
    </row>
    <row r="37" spans="2:22" ht="13.5" customHeight="1" x14ac:dyDescent="0.25">
      <c r="B37" s="839">
        <v>1</v>
      </c>
      <c r="C37" s="840" t="s">
        <v>239</v>
      </c>
      <c r="D37" s="840" t="s">
        <v>84</v>
      </c>
      <c r="E37" s="807">
        <v>15</v>
      </c>
      <c r="F37" s="833" t="s">
        <v>97</v>
      </c>
      <c r="G37" s="842">
        <v>5</v>
      </c>
      <c r="H37" s="842">
        <v>2</v>
      </c>
      <c r="I37" s="842">
        <v>1</v>
      </c>
      <c r="J37" s="840" t="s">
        <v>84</v>
      </c>
      <c r="K37" s="840" t="s">
        <v>112</v>
      </c>
      <c r="L37" s="1980" t="s">
        <v>1084</v>
      </c>
      <c r="M37" s="1981"/>
      <c r="N37" s="1982"/>
      <c r="O37" s="1983"/>
      <c r="P37" s="2027">
        <f>SUM(P38:P50)</f>
        <v>65550000</v>
      </c>
      <c r="Q37" s="850"/>
      <c r="R37" s="853"/>
      <c r="S37" s="854"/>
      <c r="T37" s="878"/>
      <c r="U37" s="756">
        <f t="shared" ref="U37:U43" si="0">SUM(T37)-P37</f>
        <v>-65550000</v>
      </c>
      <c r="V37" s="761"/>
    </row>
    <row r="38" spans="2:22" ht="13.5" customHeight="1" x14ac:dyDescent="0.25">
      <c r="B38" s="839"/>
      <c r="C38" s="840"/>
      <c r="D38" s="840"/>
      <c r="E38" s="841"/>
      <c r="F38" s="840"/>
      <c r="G38" s="842"/>
      <c r="H38" s="842"/>
      <c r="I38" s="842"/>
      <c r="J38" s="840"/>
      <c r="K38" s="840"/>
      <c r="L38" s="1980" t="s">
        <v>1085</v>
      </c>
      <c r="M38" s="1981">
        <v>3</v>
      </c>
      <c r="N38" s="1982" t="s">
        <v>88</v>
      </c>
      <c r="O38" s="1983">
        <v>0</v>
      </c>
      <c r="P38" s="2027">
        <f>O38*M38</f>
        <v>0</v>
      </c>
      <c r="Q38" s="847"/>
      <c r="R38" s="851"/>
      <c r="S38" s="851"/>
      <c r="T38" s="879"/>
      <c r="U38" s="756">
        <f t="shared" si="0"/>
        <v>0</v>
      </c>
      <c r="V38" s="761"/>
    </row>
    <row r="39" spans="2:22" ht="13.5" customHeight="1" x14ac:dyDescent="0.25">
      <c r="B39" s="839"/>
      <c r="C39" s="840"/>
      <c r="D39" s="840"/>
      <c r="E39" s="841"/>
      <c r="F39" s="841"/>
      <c r="G39" s="842"/>
      <c r="H39" s="842"/>
      <c r="I39" s="842"/>
      <c r="J39" s="843"/>
      <c r="K39" s="843"/>
      <c r="L39" s="1984" t="s">
        <v>1086</v>
      </c>
      <c r="M39" s="1981">
        <v>3</v>
      </c>
      <c r="N39" s="1982" t="s">
        <v>88</v>
      </c>
      <c r="O39" s="1983">
        <v>0</v>
      </c>
      <c r="P39" s="2027">
        <f>O39*M39</f>
        <v>0</v>
      </c>
      <c r="Q39" s="847"/>
      <c r="R39" s="851"/>
      <c r="S39" s="880"/>
      <c r="T39" s="879"/>
      <c r="U39" s="756">
        <f t="shared" si="0"/>
        <v>0</v>
      </c>
      <c r="V39" s="761"/>
    </row>
    <row r="40" spans="2:22" ht="13.5" customHeight="1" x14ac:dyDescent="0.25">
      <c r="B40" s="839"/>
      <c r="C40" s="840"/>
      <c r="D40" s="840"/>
      <c r="E40" s="841"/>
      <c r="F40" s="841"/>
      <c r="G40" s="842"/>
      <c r="H40" s="842"/>
      <c r="I40" s="842"/>
      <c r="J40" s="843"/>
      <c r="K40" s="843"/>
      <c r="L40" s="1984" t="s">
        <v>1087</v>
      </c>
      <c r="M40" s="844">
        <v>15</v>
      </c>
      <c r="N40" s="1982" t="s">
        <v>88</v>
      </c>
      <c r="O40" s="1983">
        <v>0</v>
      </c>
      <c r="P40" s="2027">
        <f>O40*M40</f>
        <v>0</v>
      </c>
      <c r="Q40" s="847"/>
      <c r="R40" s="851"/>
      <c r="S40" s="880"/>
      <c r="T40" s="879"/>
      <c r="U40" s="756">
        <f t="shared" si="0"/>
        <v>0</v>
      </c>
      <c r="V40" s="761"/>
    </row>
    <row r="41" spans="2:22" ht="13.5" customHeight="1" x14ac:dyDescent="0.25">
      <c r="B41" s="839"/>
      <c r="C41" s="840"/>
      <c r="D41" s="840"/>
      <c r="E41" s="841"/>
      <c r="F41" s="841"/>
      <c r="G41" s="842"/>
      <c r="H41" s="842"/>
      <c r="I41" s="842"/>
      <c r="J41" s="843"/>
      <c r="K41" s="843"/>
      <c r="L41" s="1984"/>
      <c r="M41" s="844"/>
      <c r="N41" s="1982"/>
      <c r="O41" s="1983"/>
      <c r="P41" s="2027"/>
      <c r="Q41" s="847"/>
      <c r="R41" s="851"/>
      <c r="S41" s="880"/>
      <c r="T41" s="879"/>
      <c r="U41" s="756"/>
      <c r="V41" s="761"/>
    </row>
    <row r="42" spans="2:22" ht="13.5" customHeight="1" x14ac:dyDescent="0.25">
      <c r="B42" s="839"/>
      <c r="C42" s="840"/>
      <c r="D42" s="840"/>
      <c r="E42" s="841"/>
      <c r="F42" s="841"/>
      <c r="G42" s="842"/>
      <c r="H42" s="842"/>
      <c r="I42" s="842"/>
      <c r="J42" s="843"/>
      <c r="K42" s="843"/>
      <c r="L42" s="1985" t="s">
        <v>1088</v>
      </c>
      <c r="M42" s="1986"/>
      <c r="N42" s="1987"/>
      <c r="O42" s="1988"/>
      <c r="P42" s="2028"/>
      <c r="Q42" s="847"/>
      <c r="R42" s="851"/>
      <c r="S42" s="880"/>
      <c r="T42" s="879"/>
      <c r="U42" s="756"/>
      <c r="V42" s="761"/>
    </row>
    <row r="43" spans="2:22" ht="13.5" customHeight="1" x14ac:dyDescent="0.25">
      <c r="B43" s="839"/>
      <c r="C43" s="840"/>
      <c r="D43" s="840"/>
      <c r="E43" s="841"/>
      <c r="F43" s="841"/>
      <c r="G43" s="842"/>
      <c r="H43" s="842"/>
      <c r="I43" s="842"/>
      <c r="J43" s="843"/>
      <c r="K43" s="843"/>
      <c r="L43" s="1989" t="s">
        <v>1041</v>
      </c>
      <c r="M43" s="1986">
        <f>2*6</f>
        <v>12</v>
      </c>
      <c r="N43" s="1990" t="s">
        <v>82</v>
      </c>
      <c r="O43" s="1991">
        <v>500000</v>
      </c>
      <c r="P43" s="2028">
        <f>M43*O43</f>
        <v>6000000</v>
      </c>
      <c r="Q43" s="847"/>
      <c r="R43" s="851"/>
      <c r="S43" s="880"/>
      <c r="T43" s="879"/>
      <c r="U43" s="756">
        <f t="shared" si="0"/>
        <v>-6000000</v>
      </c>
      <c r="V43" s="761"/>
    </row>
    <row r="44" spans="2:22" ht="13.5" customHeight="1" x14ac:dyDescent="0.25">
      <c r="B44" s="839"/>
      <c r="C44" s="840"/>
      <c r="D44" s="840"/>
      <c r="E44" s="841"/>
      <c r="F44" s="841"/>
      <c r="G44" s="842"/>
      <c r="H44" s="842"/>
      <c r="I44" s="842"/>
      <c r="J44" s="843"/>
      <c r="K44" s="843"/>
      <c r="L44" s="1992" t="s">
        <v>1042</v>
      </c>
      <c r="M44" s="1986">
        <f>1*6</f>
        <v>6</v>
      </c>
      <c r="N44" s="1990" t="s">
        <v>82</v>
      </c>
      <c r="O44" s="1991">
        <v>450000</v>
      </c>
      <c r="P44" s="2028">
        <f>M44*O44</f>
        <v>2700000</v>
      </c>
      <c r="Q44" s="847"/>
      <c r="R44" s="851"/>
      <c r="S44" s="880"/>
      <c r="T44" s="879"/>
      <c r="U44" s="675"/>
      <c r="V44" s="761"/>
    </row>
    <row r="45" spans="2:22" ht="13.5" customHeight="1" x14ac:dyDescent="0.25">
      <c r="B45" s="839"/>
      <c r="C45" s="840"/>
      <c r="D45" s="840"/>
      <c r="E45" s="841"/>
      <c r="F45" s="841"/>
      <c r="G45" s="842"/>
      <c r="H45" s="842"/>
      <c r="I45" s="842"/>
      <c r="J45" s="843"/>
      <c r="K45" s="843"/>
      <c r="L45" s="1993" t="s">
        <v>1043</v>
      </c>
      <c r="M45" s="1986">
        <f>1*6</f>
        <v>6</v>
      </c>
      <c r="N45" s="1990" t="s">
        <v>82</v>
      </c>
      <c r="O45" s="1991">
        <v>400000</v>
      </c>
      <c r="P45" s="2028">
        <f>M45*O45</f>
        <v>2400000</v>
      </c>
      <c r="Q45" s="850"/>
      <c r="R45" s="851"/>
      <c r="S45" s="852"/>
      <c r="T45" s="878"/>
      <c r="U45" s="756">
        <f t="shared" ref="U45:U53" si="1">SUM(T45)-P45</f>
        <v>-2400000</v>
      </c>
      <c r="V45" s="761"/>
    </row>
    <row r="46" spans="2:22" ht="18" customHeight="1" x14ac:dyDescent="0.25">
      <c r="B46" s="839"/>
      <c r="C46" s="840"/>
      <c r="D46" s="840"/>
      <c r="E46" s="841"/>
      <c r="F46" s="841"/>
      <c r="G46" s="842"/>
      <c r="H46" s="842"/>
      <c r="I46" s="842"/>
      <c r="J46" s="843"/>
      <c r="K46" s="843"/>
      <c r="L46" s="1993" t="s">
        <v>1028</v>
      </c>
      <c r="M46" s="1986">
        <v>6</v>
      </c>
      <c r="N46" s="1990" t="s">
        <v>82</v>
      </c>
      <c r="O46" s="1991">
        <v>350000</v>
      </c>
      <c r="P46" s="2028">
        <f>O46*M46</f>
        <v>2100000</v>
      </c>
      <c r="Q46" s="850"/>
      <c r="R46" s="853"/>
      <c r="S46" s="854"/>
      <c r="T46" s="878"/>
      <c r="U46" s="756">
        <f t="shared" si="1"/>
        <v>-2100000</v>
      </c>
      <c r="V46" s="761"/>
    </row>
    <row r="47" spans="2:22" ht="13.5" customHeight="1" x14ac:dyDescent="0.25">
      <c r="B47" s="839"/>
      <c r="C47" s="840"/>
      <c r="D47" s="840"/>
      <c r="E47" s="841"/>
      <c r="F47" s="841"/>
      <c r="G47" s="842"/>
      <c r="H47" s="842"/>
      <c r="I47" s="842"/>
      <c r="J47" s="843"/>
      <c r="K47" s="843"/>
      <c r="L47" s="1993" t="s">
        <v>1089</v>
      </c>
      <c r="M47" s="1986">
        <v>6</v>
      </c>
      <c r="N47" s="1990" t="s">
        <v>82</v>
      </c>
      <c r="O47" s="1991">
        <v>325000</v>
      </c>
      <c r="P47" s="2028">
        <f>O47*M47</f>
        <v>1950000</v>
      </c>
      <c r="Q47" s="850"/>
      <c r="R47" s="851"/>
      <c r="S47" s="852"/>
      <c r="T47" s="879"/>
      <c r="U47" s="756">
        <f t="shared" si="1"/>
        <v>-1950000</v>
      </c>
      <c r="V47" s="761"/>
    </row>
    <row r="48" spans="2:22" ht="13.5" customHeight="1" x14ac:dyDescent="0.25">
      <c r="B48" s="839"/>
      <c r="C48" s="840"/>
      <c r="D48" s="840"/>
      <c r="E48" s="841"/>
      <c r="F48" s="841"/>
      <c r="G48" s="842"/>
      <c r="H48" s="842"/>
      <c r="I48" s="842"/>
      <c r="J48" s="843"/>
      <c r="K48" s="843"/>
      <c r="L48" s="1993" t="s">
        <v>732</v>
      </c>
      <c r="M48" s="1986">
        <v>6</v>
      </c>
      <c r="N48" s="1990" t="s">
        <v>82</v>
      </c>
      <c r="O48" s="1991">
        <v>300000</v>
      </c>
      <c r="P48" s="2028">
        <f>O48*M48</f>
        <v>1800000</v>
      </c>
      <c r="Q48" s="855"/>
      <c r="R48" s="856"/>
      <c r="S48" s="857"/>
      <c r="T48" s="891"/>
      <c r="U48" s="756">
        <f t="shared" si="1"/>
        <v>-1800000</v>
      </c>
      <c r="V48" s="761"/>
    </row>
    <row r="49" spans="2:22" ht="13.5" customHeight="1" x14ac:dyDescent="0.25">
      <c r="B49" s="839"/>
      <c r="C49" s="840"/>
      <c r="D49" s="840"/>
      <c r="E49" s="841"/>
      <c r="F49" s="841"/>
      <c r="G49" s="842"/>
      <c r="H49" s="842"/>
      <c r="I49" s="842"/>
      <c r="J49" s="843"/>
      <c r="K49" s="843"/>
      <c r="L49" s="1993" t="s">
        <v>1090</v>
      </c>
      <c r="M49" s="1986">
        <f>30*6</f>
        <v>180</v>
      </c>
      <c r="N49" s="1990" t="s">
        <v>82</v>
      </c>
      <c r="O49" s="1994">
        <v>250000</v>
      </c>
      <c r="P49" s="2028">
        <f>O49*M49</f>
        <v>45000000</v>
      </c>
      <c r="Q49" s="858"/>
      <c r="R49" s="1917"/>
      <c r="S49" s="505"/>
      <c r="T49" s="879"/>
      <c r="U49" s="756">
        <f t="shared" si="1"/>
        <v>-45000000</v>
      </c>
      <c r="V49" s="761"/>
    </row>
    <row r="50" spans="2:22" ht="13.5" customHeight="1" x14ac:dyDescent="0.25">
      <c r="B50" s="839"/>
      <c r="C50" s="840"/>
      <c r="D50" s="840"/>
      <c r="E50" s="841"/>
      <c r="F50" s="841"/>
      <c r="G50" s="842"/>
      <c r="H50" s="842"/>
      <c r="I50" s="842"/>
      <c r="J50" s="843"/>
      <c r="K50" s="843"/>
      <c r="L50" s="1993" t="s">
        <v>1091</v>
      </c>
      <c r="M50" s="1986">
        <f>3*6</f>
        <v>18</v>
      </c>
      <c r="N50" s="1990" t="s">
        <v>82</v>
      </c>
      <c r="O50" s="1994">
        <v>200000</v>
      </c>
      <c r="P50" s="2028">
        <f>O50*M50</f>
        <v>3600000</v>
      </c>
      <c r="Q50" s="858"/>
      <c r="R50" s="1917"/>
      <c r="S50" s="505"/>
      <c r="T50" s="879"/>
      <c r="U50" s="756">
        <f t="shared" si="1"/>
        <v>-3600000</v>
      </c>
      <c r="V50" s="761"/>
    </row>
    <row r="51" spans="2:22" x14ac:dyDescent="0.25">
      <c r="B51" s="839"/>
      <c r="C51" s="840"/>
      <c r="D51" s="840"/>
      <c r="E51" s="841"/>
      <c r="F51" s="841"/>
      <c r="G51" s="842"/>
      <c r="H51" s="842"/>
      <c r="I51" s="842"/>
      <c r="J51" s="843"/>
      <c r="K51" s="843"/>
      <c r="L51" s="1984"/>
      <c r="M51" s="844"/>
      <c r="N51" s="1982"/>
      <c r="O51" s="500"/>
      <c r="P51" s="2027"/>
      <c r="Q51" s="858"/>
      <c r="R51" s="1917"/>
      <c r="S51" s="505"/>
      <c r="T51" s="879"/>
      <c r="U51" s="756"/>
      <c r="V51" s="761"/>
    </row>
    <row r="52" spans="2:22" x14ac:dyDescent="0.25">
      <c r="B52" s="654">
        <v>1</v>
      </c>
      <c r="C52" s="570" t="s">
        <v>239</v>
      </c>
      <c r="D52" s="570" t="s">
        <v>84</v>
      </c>
      <c r="E52" s="827">
        <v>15</v>
      </c>
      <c r="F52" s="798" t="s">
        <v>97</v>
      </c>
      <c r="G52" s="845">
        <v>5</v>
      </c>
      <c r="H52" s="845">
        <v>2</v>
      </c>
      <c r="I52" s="845">
        <v>1</v>
      </c>
      <c r="J52" s="846" t="s">
        <v>87</v>
      </c>
      <c r="K52" s="845"/>
      <c r="L52" s="1995" t="s">
        <v>107</v>
      </c>
      <c r="M52" s="1996"/>
      <c r="N52" s="1997"/>
      <c r="O52" s="1998"/>
      <c r="P52" s="2029">
        <f>P53</f>
        <v>11300000</v>
      </c>
      <c r="Q52" s="858"/>
      <c r="R52" s="1917"/>
      <c r="S52" s="505"/>
      <c r="T52" s="879"/>
      <c r="U52" s="756">
        <f t="shared" si="1"/>
        <v>-11300000</v>
      </c>
      <c r="V52" s="761"/>
    </row>
    <row r="53" spans="2:22" x14ac:dyDescent="0.25">
      <c r="B53" s="654">
        <v>1</v>
      </c>
      <c r="C53" s="570" t="s">
        <v>239</v>
      </c>
      <c r="D53" s="570" t="s">
        <v>84</v>
      </c>
      <c r="E53" s="827">
        <v>15</v>
      </c>
      <c r="F53" s="798" t="s">
        <v>97</v>
      </c>
      <c r="G53" s="845">
        <v>5</v>
      </c>
      <c r="H53" s="845">
        <v>2</v>
      </c>
      <c r="I53" s="845">
        <v>1</v>
      </c>
      <c r="J53" s="846" t="s">
        <v>87</v>
      </c>
      <c r="K53" s="846" t="s">
        <v>97</v>
      </c>
      <c r="L53" s="1999" t="s">
        <v>175</v>
      </c>
      <c r="M53" s="847"/>
      <c r="N53" s="1326"/>
      <c r="O53" s="1917"/>
      <c r="P53" s="551">
        <f>SUM(P54:P58)</f>
        <v>11300000</v>
      </c>
      <c r="Q53" s="858"/>
      <c r="R53" s="1917"/>
      <c r="S53" s="505"/>
      <c r="T53" s="879"/>
      <c r="U53" s="756">
        <f t="shared" si="1"/>
        <v>-11300000</v>
      </c>
      <c r="V53" s="761"/>
    </row>
    <row r="54" spans="2:22" ht="13.5" customHeight="1" x14ac:dyDescent="0.25">
      <c r="B54" s="848"/>
      <c r="C54" s="846"/>
      <c r="D54" s="846"/>
      <c r="E54" s="849"/>
      <c r="F54" s="846"/>
      <c r="G54" s="845"/>
      <c r="H54" s="845"/>
      <c r="I54" s="845"/>
      <c r="J54" s="846"/>
      <c r="K54" s="846"/>
      <c r="L54" s="1999" t="s">
        <v>183</v>
      </c>
      <c r="M54" s="847">
        <v>12</v>
      </c>
      <c r="N54" s="1326" t="s">
        <v>108</v>
      </c>
      <c r="O54" s="505">
        <v>300000</v>
      </c>
      <c r="P54" s="551">
        <f>O54*M54</f>
        <v>3600000</v>
      </c>
      <c r="Q54" s="859"/>
      <c r="R54" s="887"/>
      <c r="S54" s="893"/>
      <c r="T54" s="895"/>
      <c r="U54" s="675"/>
      <c r="V54" s="761"/>
    </row>
    <row r="55" spans="2:22" ht="13.5" customHeight="1" x14ac:dyDescent="0.25">
      <c r="B55" s="848"/>
      <c r="C55" s="846"/>
      <c r="D55" s="846"/>
      <c r="E55" s="849"/>
      <c r="F55" s="846"/>
      <c r="G55" s="845"/>
      <c r="H55" s="845"/>
      <c r="I55" s="845"/>
      <c r="J55" s="846"/>
      <c r="K55" s="846"/>
      <c r="L55" s="2000" t="s">
        <v>184</v>
      </c>
      <c r="M55" s="847">
        <v>6</v>
      </c>
      <c r="N55" s="1326" t="s">
        <v>150</v>
      </c>
      <c r="O55" s="505">
        <v>300000</v>
      </c>
      <c r="P55" s="551">
        <f>O55*M55</f>
        <v>1800000</v>
      </c>
      <c r="Q55" s="850"/>
      <c r="R55" s="853"/>
      <c r="S55" s="854"/>
      <c r="T55" s="878"/>
      <c r="U55" s="756">
        <f t="shared" ref="U55:U68" si="2">SUM(T55)-P55</f>
        <v>-1800000</v>
      </c>
      <c r="V55" s="761"/>
    </row>
    <row r="56" spans="2:22" ht="13.5" customHeight="1" x14ac:dyDescent="0.25">
      <c r="B56" s="848"/>
      <c r="C56" s="846"/>
      <c r="D56" s="846"/>
      <c r="E56" s="849"/>
      <c r="F56" s="849"/>
      <c r="G56" s="845"/>
      <c r="H56" s="845"/>
      <c r="I56" s="845"/>
      <c r="J56" s="846"/>
      <c r="K56" s="845"/>
      <c r="L56" s="2001" t="s">
        <v>185</v>
      </c>
      <c r="M56" s="847">
        <v>6</v>
      </c>
      <c r="N56" s="1326" t="s">
        <v>150</v>
      </c>
      <c r="O56" s="505">
        <v>300000</v>
      </c>
      <c r="P56" s="551">
        <f>O56*M56</f>
        <v>1800000</v>
      </c>
      <c r="Q56" s="859"/>
      <c r="R56" s="887"/>
      <c r="S56" s="895"/>
      <c r="T56" s="895"/>
      <c r="U56" s="756">
        <f t="shared" si="2"/>
        <v>-1800000</v>
      </c>
      <c r="V56" s="761"/>
    </row>
    <row r="57" spans="2:22" ht="16.5" customHeight="1" x14ac:dyDescent="0.25">
      <c r="B57" s="848"/>
      <c r="C57" s="846"/>
      <c r="D57" s="846"/>
      <c r="E57" s="849"/>
      <c r="F57" s="849"/>
      <c r="G57" s="845"/>
      <c r="H57" s="845"/>
      <c r="I57" s="845"/>
      <c r="J57" s="846"/>
      <c r="K57" s="846"/>
      <c r="L57" s="1999" t="s">
        <v>186</v>
      </c>
      <c r="M57" s="847">
        <v>11</v>
      </c>
      <c r="N57" s="1326" t="s">
        <v>150</v>
      </c>
      <c r="O57" s="505">
        <v>100000</v>
      </c>
      <c r="P57" s="551">
        <f>O57*M57</f>
        <v>1100000</v>
      </c>
      <c r="Q57" s="847"/>
      <c r="R57" s="851"/>
      <c r="S57" s="880"/>
      <c r="T57" s="879"/>
      <c r="U57" s="756">
        <f t="shared" si="2"/>
        <v>-1100000</v>
      </c>
      <c r="V57" s="761"/>
    </row>
    <row r="58" spans="2:22" x14ac:dyDescent="0.25">
      <c r="B58" s="848"/>
      <c r="C58" s="846"/>
      <c r="D58" s="846"/>
      <c r="E58" s="849"/>
      <c r="F58" s="849"/>
      <c r="G58" s="845"/>
      <c r="H58" s="845"/>
      <c r="I58" s="845"/>
      <c r="J58" s="846"/>
      <c r="K58" s="846"/>
      <c r="L58" s="2002" t="s">
        <v>733</v>
      </c>
      <c r="M58" s="847">
        <f>30*2</f>
        <v>60</v>
      </c>
      <c r="N58" s="1326" t="s">
        <v>150</v>
      </c>
      <c r="O58" s="505">
        <v>50000</v>
      </c>
      <c r="P58" s="551">
        <f>O58*M58</f>
        <v>3000000</v>
      </c>
      <c r="Q58" s="847"/>
      <c r="R58" s="851"/>
      <c r="S58" s="880"/>
      <c r="T58" s="879"/>
      <c r="U58" s="756">
        <f t="shared" si="2"/>
        <v>-3000000</v>
      </c>
      <c r="V58" s="761"/>
    </row>
    <row r="59" spans="2:22" x14ac:dyDescent="0.25">
      <c r="B59" s="848"/>
      <c r="C59" s="846"/>
      <c r="D59" s="846"/>
      <c r="E59" s="849"/>
      <c r="F59" s="846"/>
      <c r="G59" s="845"/>
      <c r="H59" s="845"/>
      <c r="I59" s="845"/>
      <c r="J59" s="846"/>
      <c r="K59" s="846"/>
      <c r="L59" s="2003"/>
      <c r="M59" s="847"/>
      <c r="N59" s="1326"/>
      <c r="O59" s="505"/>
      <c r="P59" s="551"/>
      <c r="Q59" s="847"/>
      <c r="R59" s="881"/>
      <c r="S59" s="879"/>
      <c r="T59" s="879"/>
      <c r="U59" s="756"/>
      <c r="V59" s="761"/>
    </row>
    <row r="60" spans="2:22" x14ac:dyDescent="0.25">
      <c r="B60" s="654">
        <v>1</v>
      </c>
      <c r="C60" s="570" t="s">
        <v>239</v>
      </c>
      <c r="D60" s="570" t="s">
        <v>84</v>
      </c>
      <c r="E60" s="827">
        <v>15</v>
      </c>
      <c r="F60" s="798" t="s">
        <v>97</v>
      </c>
      <c r="G60" s="845">
        <v>5</v>
      </c>
      <c r="H60" s="845">
        <v>2</v>
      </c>
      <c r="I60" s="845">
        <v>2</v>
      </c>
      <c r="J60" s="845"/>
      <c r="K60" s="845"/>
      <c r="L60" s="2004" t="s">
        <v>64</v>
      </c>
      <c r="M60" s="850"/>
      <c r="N60" s="851"/>
      <c r="O60" s="852"/>
      <c r="P60" s="871">
        <f>P61+P70+P80+P87</f>
        <v>388990200</v>
      </c>
      <c r="Q60" s="850"/>
      <c r="R60" s="851"/>
      <c r="S60" s="852"/>
      <c r="T60" s="878">
        <f>T61+T70+T100</f>
        <v>386705100</v>
      </c>
      <c r="U60" s="756">
        <f t="shared" si="2"/>
        <v>-2285100</v>
      </c>
      <c r="V60" s="761"/>
    </row>
    <row r="61" spans="2:22" x14ac:dyDescent="0.25">
      <c r="B61" s="654">
        <v>1</v>
      </c>
      <c r="C61" s="570" t="s">
        <v>239</v>
      </c>
      <c r="D61" s="570" t="s">
        <v>84</v>
      </c>
      <c r="E61" s="827">
        <v>15</v>
      </c>
      <c r="F61" s="798" t="s">
        <v>97</v>
      </c>
      <c r="G61" s="845">
        <v>5</v>
      </c>
      <c r="H61" s="845">
        <v>2</v>
      </c>
      <c r="I61" s="845">
        <v>2</v>
      </c>
      <c r="J61" s="846" t="s">
        <v>84</v>
      </c>
      <c r="K61" s="845"/>
      <c r="L61" s="1995" t="s">
        <v>55</v>
      </c>
      <c r="M61" s="850"/>
      <c r="N61" s="853"/>
      <c r="O61" s="854"/>
      <c r="P61" s="871">
        <f>P62</f>
        <v>815150</v>
      </c>
      <c r="Q61" s="850"/>
      <c r="R61" s="853"/>
      <c r="S61" s="854"/>
      <c r="T61" s="878">
        <f>T62</f>
        <v>332750</v>
      </c>
      <c r="U61" s="756">
        <f t="shared" si="2"/>
        <v>-482400</v>
      </c>
      <c r="V61" s="813"/>
    </row>
    <row r="62" spans="2:22" x14ac:dyDescent="0.25">
      <c r="B62" s="654">
        <v>1</v>
      </c>
      <c r="C62" s="570" t="s">
        <v>239</v>
      </c>
      <c r="D62" s="570" t="s">
        <v>84</v>
      </c>
      <c r="E62" s="827">
        <v>15</v>
      </c>
      <c r="F62" s="798" t="s">
        <v>97</v>
      </c>
      <c r="G62" s="845">
        <v>5</v>
      </c>
      <c r="H62" s="845">
        <v>2</v>
      </c>
      <c r="I62" s="845">
        <v>2</v>
      </c>
      <c r="J62" s="846" t="s">
        <v>84</v>
      </c>
      <c r="K62" s="846" t="s">
        <v>84</v>
      </c>
      <c r="L62" s="2005" t="s">
        <v>70</v>
      </c>
      <c r="M62" s="850"/>
      <c r="N62" s="851"/>
      <c r="O62" s="852"/>
      <c r="P62" s="1594">
        <f>SUM(P63:P68)</f>
        <v>815150</v>
      </c>
      <c r="Q62" s="850"/>
      <c r="R62" s="851"/>
      <c r="S62" s="852"/>
      <c r="T62" s="1595">
        <f>SUM(T63:T68)</f>
        <v>332750</v>
      </c>
      <c r="U62" s="756">
        <f t="shared" si="2"/>
        <v>-482400</v>
      </c>
      <c r="V62" s="813"/>
    </row>
    <row r="63" spans="2:22" x14ac:dyDescent="0.25">
      <c r="B63" s="654"/>
      <c r="C63" s="570"/>
      <c r="D63" s="570"/>
      <c r="E63" s="827"/>
      <c r="F63" s="798"/>
      <c r="G63" s="845"/>
      <c r="H63" s="845"/>
      <c r="I63" s="845"/>
      <c r="J63" s="846"/>
      <c r="K63" s="846"/>
      <c r="L63" s="2006" t="s">
        <v>734</v>
      </c>
      <c r="M63" s="855">
        <v>5</v>
      </c>
      <c r="N63" s="856" t="s">
        <v>59</v>
      </c>
      <c r="O63" s="857">
        <v>69550</v>
      </c>
      <c r="P63" s="2030">
        <f t="shared" ref="P63" si="3">O63*M63</f>
        <v>347750</v>
      </c>
      <c r="Q63" s="855">
        <v>1</v>
      </c>
      <c r="R63" s="856" t="s">
        <v>59</v>
      </c>
      <c r="S63" s="857">
        <v>65000</v>
      </c>
      <c r="T63" s="891">
        <f t="shared" ref="T63" si="4">S63*Q63</f>
        <v>65000</v>
      </c>
      <c r="U63" s="756">
        <f t="shared" si="2"/>
        <v>-282750</v>
      </c>
      <c r="V63" s="813"/>
    </row>
    <row r="64" spans="2:22" x14ac:dyDescent="0.25">
      <c r="B64" s="848"/>
      <c r="C64" s="846"/>
      <c r="D64" s="846"/>
      <c r="E64" s="849"/>
      <c r="F64" s="849"/>
      <c r="G64" s="845"/>
      <c r="H64" s="845"/>
      <c r="I64" s="845"/>
      <c r="J64" s="846"/>
      <c r="K64" s="846"/>
      <c r="L64" s="2007" t="s">
        <v>735</v>
      </c>
      <c r="M64" s="858">
        <v>60</v>
      </c>
      <c r="N64" s="1326" t="s">
        <v>445</v>
      </c>
      <c r="O64" s="505">
        <v>3130</v>
      </c>
      <c r="P64" s="551">
        <f>O64*M64</f>
        <v>187800</v>
      </c>
      <c r="Q64" s="858">
        <v>3</v>
      </c>
      <c r="R64" s="1917" t="s">
        <v>621</v>
      </c>
      <c r="S64" s="505">
        <v>32000</v>
      </c>
      <c r="T64" s="1595">
        <f>S64*Q64</f>
        <v>96000</v>
      </c>
      <c r="U64" s="756">
        <f t="shared" si="2"/>
        <v>-91800</v>
      </c>
      <c r="V64" s="813"/>
    </row>
    <row r="65" spans="2:22" x14ac:dyDescent="0.25">
      <c r="B65" s="848"/>
      <c r="C65" s="846"/>
      <c r="D65" s="846"/>
      <c r="E65" s="849"/>
      <c r="F65" s="849"/>
      <c r="G65" s="845"/>
      <c r="H65" s="845"/>
      <c r="I65" s="845"/>
      <c r="J65" s="846"/>
      <c r="K65" s="846"/>
      <c r="L65" s="2007" t="s">
        <v>736</v>
      </c>
      <c r="M65" s="858">
        <v>3</v>
      </c>
      <c r="N65" s="1326" t="s">
        <v>621</v>
      </c>
      <c r="O65" s="505">
        <v>20000</v>
      </c>
      <c r="P65" s="551">
        <f>O65*M65</f>
        <v>60000</v>
      </c>
      <c r="Q65" s="858">
        <v>1</v>
      </c>
      <c r="R65" s="1917" t="s">
        <v>621</v>
      </c>
      <c r="S65" s="505">
        <v>10000</v>
      </c>
      <c r="T65" s="1595">
        <f>S65*Q65</f>
        <v>10000</v>
      </c>
      <c r="U65" s="756">
        <f t="shared" si="2"/>
        <v>-50000</v>
      </c>
      <c r="V65" s="813"/>
    </row>
    <row r="66" spans="2:22" x14ac:dyDescent="0.25">
      <c r="B66" s="848"/>
      <c r="C66" s="846"/>
      <c r="D66" s="846"/>
      <c r="E66" s="849"/>
      <c r="F66" s="849"/>
      <c r="G66" s="845"/>
      <c r="H66" s="845"/>
      <c r="I66" s="845"/>
      <c r="J66" s="846"/>
      <c r="K66" s="846"/>
      <c r="L66" s="2007" t="s">
        <v>737</v>
      </c>
      <c r="M66" s="858">
        <v>4</v>
      </c>
      <c r="N66" s="1326" t="s">
        <v>59</v>
      </c>
      <c r="O66" s="505">
        <v>43700</v>
      </c>
      <c r="P66" s="551">
        <f>O66*M66</f>
        <v>174800</v>
      </c>
      <c r="Q66" s="858">
        <v>2</v>
      </c>
      <c r="R66" s="1917" t="s">
        <v>59</v>
      </c>
      <c r="S66" s="505">
        <v>60000</v>
      </c>
      <c r="T66" s="1595">
        <f>S66*Q66</f>
        <v>120000</v>
      </c>
      <c r="U66" s="756">
        <f t="shared" si="2"/>
        <v>-54800</v>
      </c>
      <c r="V66" s="813"/>
    </row>
    <row r="67" spans="2:22" x14ac:dyDescent="0.25">
      <c r="B67" s="848"/>
      <c r="C67" s="846"/>
      <c r="D67" s="846"/>
      <c r="E67" s="849"/>
      <c r="F67" s="849"/>
      <c r="G67" s="845"/>
      <c r="H67" s="845"/>
      <c r="I67" s="845"/>
      <c r="J67" s="846"/>
      <c r="K67" s="846"/>
      <c r="L67" s="2007" t="s">
        <v>1092</v>
      </c>
      <c r="M67" s="858">
        <v>2</v>
      </c>
      <c r="N67" s="1326" t="s">
        <v>445</v>
      </c>
      <c r="O67" s="505">
        <v>12775</v>
      </c>
      <c r="P67" s="551">
        <f>O67*M67</f>
        <v>25550</v>
      </c>
      <c r="Q67" s="858">
        <v>1</v>
      </c>
      <c r="R67" s="1917" t="s">
        <v>621</v>
      </c>
      <c r="S67" s="505">
        <v>28150</v>
      </c>
      <c r="T67" s="1595">
        <f>S67*Q67</f>
        <v>28150</v>
      </c>
      <c r="U67" s="756">
        <f t="shared" si="2"/>
        <v>2600</v>
      </c>
      <c r="V67" s="813"/>
    </row>
    <row r="68" spans="2:22" x14ac:dyDescent="0.25">
      <c r="B68" s="848"/>
      <c r="C68" s="846"/>
      <c r="D68" s="846"/>
      <c r="E68" s="849"/>
      <c r="F68" s="849"/>
      <c r="G68" s="845"/>
      <c r="H68" s="845"/>
      <c r="I68" s="845"/>
      <c r="J68" s="846"/>
      <c r="K68" s="846"/>
      <c r="L68" s="2007" t="s">
        <v>1093</v>
      </c>
      <c r="M68" s="858">
        <v>1</v>
      </c>
      <c r="N68" s="1326" t="s">
        <v>445</v>
      </c>
      <c r="O68" s="505">
        <v>19250</v>
      </c>
      <c r="P68" s="551">
        <f>O68*M68</f>
        <v>19250</v>
      </c>
      <c r="Q68" s="858">
        <v>1</v>
      </c>
      <c r="R68" s="1917" t="s">
        <v>445</v>
      </c>
      <c r="S68" s="505">
        <v>13600</v>
      </c>
      <c r="T68" s="1595">
        <f>S68*Q68</f>
        <v>13600</v>
      </c>
      <c r="U68" s="756">
        <f t="shared" si="2"/>
        <v>-5650</v>
      </c>
      <c r="V68" s="813"/>
    </row>
    <row r="69" spans="2:22" x14ac:dyDescent="0.25">
      <c r="B69" s="654"/>
      <c r="C69" s="570"/>
      <c r="D69" s="570"/>
      <c r="E69" s="826"/>
      <c r="F69" s="570"/>
      <c r="G69" s="474"/>
      <c r="H69" s="474"/>
      <c r="I69" s="474"/>
      <c r="J69" s="474"/>
      <c r="K69" s="570"/>
      <c r="L69" s="501"/>
      <c r="M69" s="859"/>
      <c r="N69" s="499"/>
      <c r="O69" s="477"/>
      <c r="P69" s="548"/>
      <c r="Q69" s="859"/>
      <c r="R69" s="887"/>
      <c r="S69" s="893"/>
      <c r="T69" s="895"/>
      <c r="U69" s="675"/>
      <c r="V69" s="813"/>
    </row>
    <row r="70" spans="2:22" x14ac:dyDescent="0.25">
      <c r="B70" s="654">
        <v>1</v>
      </c>
      <c r="C70" s="570" t="s">
        <v>239</v>
      </c>
      <c r="D70" s="570" t="s">
        <v>84</v>
      </c>
      <c r="E70" s="827">
        <v>15</v>
      </c>
      <c r="F70" s="798" t="s">
        <v>97</v>
      </c>
      <c r="G70" s="474">
        <v>5</v>
      </c>
      <c r="H70" s="474">
        <v>2</v>
      </c>
      <c r="I70" s="474">
        <v>2</v>
      </c>
      <c r="J70" s="570" t="s">
        <v>97</v>
      </c>
      <c r="K70" s="474"/>
      <c r="L70" s="1995" t="s">
        <v>57</v>
      </c>
      <c r="M70" s="850"/>
      <c r="N70" s="853"/>
      <c r="O70" s="854"/>
      <c r="P70" s="871">
        <f>P75+P71</f>
        <v>374030000</v>
      </c>
      <c r="Q70" s="850"/>
      <c r="R70" s="853"/>
      <c r="S70" s="854"/>
      <c r="T70" s="878">
        <f>T71</f>
        <v>286372350</v>
      </c>
      <c r="U70" s="756">
        <f t="shared" ref="U70:U75" si="5">SUM(T70)-P70</f>
        <v>-87657650</v>
      </c>
      <c r="V70" s="813"/>
    </row>
    <row r="71" spans="2:22" x14ac:dyDescent="0.25">
      <c r="B71" s="654">
        <v>1</v>
      </c>
      <c r="C71" s="570" t="s">
        <v>239</v>
      </c>
      <c r="D71" s="570" t="s">
        <v>84</v>
      </c>
      <c r="E71" s="827">
        <v>15</v>
      </c>
      <c r="F71" s="798" t="s">
        <v>97</v>
      </c>
      <c r="G71" s="474">
        <v>5</v>
      </c>
      <c r="H71" s="474">
        <v>2</v>
      </c>
      <c r="I71" s="474">
        <v>2</v>
      </c>
      <c r="J71" s="570" t="s">
        <v>97</v>
      </c>
      <c r="K71" s="570">
        <v>12</v>
      </c>
      <c r="L71" s="2008" t="s">
        <v>141</v>
      </c>
      <c r="M71" s="859"/>
      <c r="N71" s="500"/>
      <c r="O71" s="559"/>
      <c r="P71" s="548">
        <f>SUM(P72:P73)</f>
        <v>248000000</v>
      </c>
      <c r="Q71" s="859"/>
      <c r="R71" s="887"/>
      <c r="S71" s="895"/>
      <c r="T71" s="895">
        <f>SUM(T72:T74)</f>
        <v>286372350</v>
      </c>
      <c r="U71" s="756">
        <f t="shared" si="5"/>
        <v>38372350</v>
      </c>
      <c r="V71" s="813"/>
    </row>
    <row r="72" spans="2:22" x14ac:dyDescent="0.25">
      <c r="B72" s="654"/>
      <c r="C72" s="570"/>
      <c r="D72" s="570"/>
      <c r="E72" s="826"/>
      <c r="F72" s="570"/>
      <c r="G72" s="474"/>
      <c r="H72" s="474"/>
      <c r="I72" s="474"/>
      <c r="J72" s="474"/>
      <c r="K72" s="570"/>
      <c r="L72" s="1999" t="s">
        <v>738</v>
      </c>
      <c r="M72" s="847">
        <v>1</v>
      </c>
      <c r="N72" s="1326" t="s">
        <v>71</v>
      </c>
      <c r="O72" s="505">
        <v>198000000</v>
      </c>
      <c r="P72" s="551">
        <f>O72*M72</f>
        <v>198000000</v>
      </c>
      <c r="Q72" s="847">
        <v>1</v>
      </c>
      <c r="R72" s="851" t="s">
        <v>71</v>
      </c>
      <c r="S72" s="880">
        <v>198000000</v>
      </c>
      <c r="T72" s="1595">
        <f>S72*Q72</f>
        <v>198000000</v>
      </c>
      <c r="U72" s="756">
        <f t="shared" si="5"/>
        <v>0</v>
      </c>
      <c r="V72" s="813"/>
    </row>
    <row r="73" spans="2:22" x14ac:dyDescent="0.25">
      <c r="B73" s="654"/>
      <c r="C73" s="570"/>
      <c r="D73" s="570"/>
      <c r="E73" s="826"/>
      <c r="F73" s="570"/>
      <c r="G73" s="474"/>
      <c r="H73" s="474"/>
      <c r="I73" s="474"/>
      <c r="J73" s="474"/>
      <c r="K73" s="570"/>
      <c r="L73" s="1999" t="s">
        <v>739</v>
      </c>
      <c r="M73" s="847">
        <v>2</v>
      </c>
      <c r="N73" s="1326" t="s">
        <v>176</v>
      </c>
      <c r="O73" s="505">
        <v>25000000</v>
      </c>
      <c r="P73" s="551">
        <f>O73*M73</f>
        <v>50000000</v>
      </c>
      <c r="Q73" s="847">
        <v>3</v>
      </c>
      <c r="R73" s="851" t="s">
        <v>176</v>
      </c>
      <c r="S73" s="880">
        <v>25000000</v>
      </c>
      <c r="T73" s="1595">
        <f>S73*Q73</f>
        <v>75000000</v>
      </c>
      <c r="U73" s="756">
        <f t="shared" si="5"/>
        <v>25000000</v>
      </c>
      <c r="V73" s="813"/>
    </row>
    <row r="74" spans="2:22" ht="25" x14ac:dyDescent="0.25">
      <c r="B74" s="654"/>
      <c r="C74" s="570"/>
      <c r="D74" s="570"/>
      <c r="E74" s="826"/>
      <c r="F74" s="570"/>
      <c r="G74" s="474"/>
      <c r="H74" s="474"/>
      <c r="I74" s="474"/>
      <c r="J74" s="474"/>
      <c r="K74" s="570"/>
      <c r="L74" s="896" t="s">
        <v>740</v>
      </c>
      <c r="M74" s="847"/>
      <c r="N74" s="881"/>
      <c r="O74" s="1595"/>
      <c r="P74" s="1594"/>
      <c r="Q74" s="847">
        <v>1</v>
      </c>
      <c r="R74" s="881" t="s">
        <v>2</v>
      </c>
      <c r="S74" s="1595">
        <v>13372350</v>
      </c>
      <c r="T74" s="1595">
        <f>S74</f>
        <v>13372350</v>
      </c>
      <c r="U74" s="756">
        <f t="shared" ref="U74" si="6">SUM(T74)-P74</f>
        <v>13372350</v>
      </c>
      <c r="V74" s="813"/>
    </row>
    <row r="75" spans="2:22" x14ac:dyDescent="0.25">
      <c r="B75" s="654">
        <v>1</v>
      </c>
      <c r="C75" s="570" t="s">
        <v>239</v>
      </c>
      <c r="D75" s="570" t="s">
        <v>84</v>
      </c>
      <c r="E75" s="827">
        <v>15</v>
      </c>
      <c r="F75" s="798" t="s">
        <v>97</v>
      </c>
      <c r="G75" s="474">
        <v>5</v>
      </c>
      <c r="H75" s="474">
        <v>2</v>
      </c>
      <c r="I75" s="474">
        <v>2</v>
      </c>
      <c r="J75" s="570" t="s">
        <v>97</v>
      </c>
      <c r="K75" s="570">
        <v>27</v>
      </c>
      <c r="L75" s="2008" t="s">
        <v>229</v>
      </c>
      <c r="M75" s="859"/>
      <c r="N75" s="500"/>
      <c r="O75" s="559"/>
      <c r="P75" s="548">
        <f>SUM(P76:P78)</f>
        <v>126030000</v>
      </c>
      <c r="Q75" s="847"/>
      <c r="R75" s="881"/>
      <c r="S75" s="1595"/>
      <c r="T75" s="1595"/>
      <c r="U75" s="756">
        <f t="shared" si="5"/>
        <v>-126030000</v>
      </c>
      <c r="V75" s="813"/>
    </row>
    <row r="76" spans="2:22" x14ac:dyDescent="0.25">
      <c r="B76" s="654"/>
      <c r="C76" s="570"/>
      <c r="D76" s="570"/>
      <c r="E76" s="826"/>
      <c r="F76" s="570"/>
      <c r="G76" s="474"/>
      <c r="H76" s="474"/>
      <c r="I76" s="474"/>
      <c r="J76" s="474"/>
      <c r="K76" s="570"/>
      <c r="L76" s="1999" t="s">
        <v>1094</v>
      </c>
      <c r="M76" s="847">
        <v>18</v>
      </c>
      <c r="N76" s="1326" t="s">
        <v>454</v>
      </c>
      <c r="O76" s="505">
        <v>300000</v>
      </c>
      <c r="P76" s="551">
        <f>O76*M76</f>
        <v>5400000</v>
      </c>
      <c r="Q76" s="859"/>
      <c r="R76" s="887"/>
      <c r="S76" s="893"/>
      <c r="T76" s="893"/>
      <c r="U76" s="756">
        <f t="shared" ref="U76:U82" si="7">SUM(T76)-P76</f>
        <v>-5400000</v>
      </c>
      <c r="V76" s="813"/>
    </row>
    <row r="77" spans="2:22" x14ac:dyDescent="0.25">
      <c r="B77" s="654"/>
      <c r="C77" s="570"/>
      <c r="D77" s="570"/>
      <c r="E77" s="826"/>
      <c r="F77" s="570"/>
      <c r="G77" s="474"/>
      <c r="H77" s="474"/>
      <c r="I77" s="474"/>
      <c r="J77" s="474"/>
      <c r="K77" s="570"/>
      <c r="L77" s="2003" t="s">
        <v>1095</v>
      </c>
      <c r="M77" s="847">
        <v>18</v>
      </c>
      <c r="N77" s="1326" t="s">
        <v>454</v>
      </c>
      <c r="O77" s="505">
        <v>35000</v>
      </c>
      <c r="P77" s="551">
        <f>O77*M77</f>
        <v>630000</v>
      </c>
      <c r="Q77" s="862"/>
      <c r="R77" s="1686"/>
      <c r="S77" s="903"/>
      <c r="T77" s="903"/>
      <c r="U77" s="756">
        <f t="shared" si="7"/>
        <v>-630000</v>
      </c>
      <c r="V77" s="813"/>
    </row>
    <row r="78" spans="2:22" x14ac:dyDescent="0.25">
      <c r="B78" s="654"/>
      <c r="C78" s="570"/>
      <c r="D78" s="570"/>
      <c r="E78" s="826"/>
      <c r="F78" s="570"/>
      <c r="G78" s="474"/>
      <c r="H78" s="474"/>
      <c r="I78" s="474"/>
      <c r="J78" s="474"/>
      <c r="K78" s="570"/>
      <c r="L78" s="2002" t="s">
        <v>741</v>
      </c>
      <c r="M78" s="847">
        <f>2*12</f>
        <v>24</v>
      </c>
      <c r="N78" s="1326" t="s">
        <v>52</v>
      </c>
      <c r="O78" s="505">
        <v>5000000</v>
      </c>
      <c r="P78" s="551">
        <f>O78*M78</f>
        <v>120000000</v>
      </c>
      <c r="Q78" s="850"/>
      <c r="R78" s="851"/>
      <c r="S78" s="851"/>
      <c r="T78" s="880"/>
      <c r="U78" s="756">
        <f t="shared" si="7"/>
        <v>-120000000</v>
      </c>
      <c r="V78" s="813"/>
    </row>
    <row r="79" spans="2:22" x14ac:dyDescent="0.25">
      <c r="B79" s="654"/>
      <c r="C79" s="570"/>
      <c r="D79" s="570"/>
      <c r="E79" s="826"/>
      <c r="F79" s="570"/>
      <c r="G79" s="474"/>
      <c r="H79" s="474"/>
      <c r="I79" s="474"/>
      <c r="J79" s="474"/>
      <c r="K79" s="570"/>
      <c r="L79" s="507"/>
      <c r="M79" s="859"/>
      <c r="N79" s="500"/>
      <c r="O79" s="559"/>
      <c r="P79" s="548"/>
      <c r="Q79" s="862"/>
      <c r="R79" s="887"/>
      <c r="S79" s="893"/>
      <c r="T79" s="893"/>
      <c r="U79" s="756"/>
      <c r="V79" s="813"/>
    </row>
    <row r="80" spans="2:22" x14ac:dyDescent="0.25">
      <c r="B80" s="654">
        <v>1</v>
      </c>
      <c r="C80" s="570" t="s">
        <v>239</v>
      </c>
      <c r="D80" s="570" t="s">
        <v>84</v>
      </c>
      <c r="E80" s="827">
        <v>15</v>
      </c>
      <c r="F80" s="798" t="s">
        <v>97</v>
      </c>
      <c r="G80" s="474">
        <v>5</v>
      </c>
      <c r="H80" s="474">
        <v>2</v>
      </c>
      <c r="I80" s="474">
        <v>2</v>
      </c>
      <c r="J80" s="570" t="s">
        <v>86</v>
      </c>
      <c r="K80" s="474"/>
      <c r="L80" s="2009" t="s">
        <v>60</v>
      </c>
      <c r="M80" s="850"/>
      <c r="N80" s="1914"/>
      <c r="O80" s="1915"/>
      <c r="P80" s="2031">
        <f>SUM(P81+P84)</f>
        <v>945050</v>
      </c>
      <c r="Q80" s="862"/>
      <c r="R80" s="1686"/>
      <c r="S80" s="903"/>
      <c r="T80" s="903"/>
      <c r="U80" s="756">
        <f t="shared" si="7"/>
        <v>-945050</v>
      </c>
      <c r="V80" s="813"/>
    </row>
    <row r="81" spans="2:22" x14ac:dyDescent="0.25">
      <c r="B81" s="654">
        <v>1</v>
      </c>
      <c r="C81" s="570" t="s">
        <v>239</v>
      </c>
      <c r="D81" s="570" t="s">
        <v>84</v>
      </c>
      <c r="E81" s="827">
        <v>15</v>
      </c>
      <c r="F81" s="798" t="s">
        <v>97</v>
      </c>
      <c r="G81" s="474">
        <v>5</v>
      </c>
      <c r="H81" s="474">
        <v>2</v>
      </c>
      <c r="I81" s="474">
        <v>2</v>
      </c>
      <c r="J81" s="570" t="s">
        <v>86</v>
      </c>
      <c r="K81" s="570" t="s">
        <v>84</v>
      </c>
      <c r="L81" s="1916" t="s">
        <v>453</v>
      </c>
      <c r="M81" s="850"/>
      <c r="N81" s="1917"/>
      <c r="O81" s="1918"/>
      <c r="P81" s="551">
        <f>P82+P83</f>
        <v>615000</v>
      </c>
      <c r="Q81" s="850"/>
      <c r="R81" s="851"/>
      <c r="S81" s="851"/>
      <c r="T81" s="880"/>
      <c r="U81" s="756">
        <f t="shared" si="7"/>
        <v>-615000</v>
      </c>
      <c r="V81" s="813"/>
    </row>
    <row r="82" spans="2:22" x14ac:dyDescent="0.25">
      <c r="B82" s="654"/>
      <c r="C82" s="474"/>
      <c r="D82" s="474"/>
      <c r="E82" s="474"/>
      <c r="F82" s="474"/>
      <c r="G82" s="474"/>
      <c r="H82" s="474"/>
      <c r="I82" s="860"/>
      <c r="J82" s="860"/>
      <c r="K82" s="570"/>
      <c r="L82" s="2010" t="s">
        <v>230</v>
      </c>
      <c r="M82" s="850">
        <v>30</v>
      </c>
      <c r="N82" s="1326" t="s">
        <v>231</v>
      </c>
      <c r="O82" s="2011">
        <v>12500</v>
      </c>
      <c r="P82" s="548">
        <f>O82*M82</f>
        <v>375000</v>
      </c>
      <c r="Q82" s="862"/>
      <c r="R82" s="1686"/>
      <c r="S82" s="851"/>
      <c r="T82" s="880"/>
      <c r="U82" s="756">
        <f t="shared" si="7"/>
        <v>-375000</v>
      </c>
      <c r="V82" s="813"/>
    </row>
    <row r="83" spans="2:22" x14ac:dyDescent="0.25">
      <c r="B83" s="654"/>
      <c r="C83" s="474"/>
      <c r="D83" s="474"/>
      <c r="E83" s="474"/>
      <c r="F83" s="474"/>
      <c r="G83" s="474"/>
      <c r="H83" s="474"/>
      <c r="I83" s="860"/>
      <c r="J83" s="860"/>
      <c r="K83" s="570"/>
      <c r="L83" s="1785" t="s">
        <v>742</v>
      </c>
      <c r="M83" s="861">
        <v>4</v>
      </c>
      <c r="N83" s="508" t="s">
        <v>1096</v>
      </c>
      <c r="O83" s="509">
        <v>60000</v>
      </c>
      <c r="P83" s="548">
        <f>O83*M83</f>
        <v>240000</v>
      </c>
      <c r="Q83" s="862"/>
      <c r="R83" s="1686"/>
      <c r="S83" s="851"/>
      <c r="T83" s="880"/>
      <c r="U83" s="897"/>
      <c r="V83" s="813"/>
    </row>
    <row r="84" spans="2:22" x14ac:dyDescent="0.25">
      <c r="B84" s="654">
        <v>1</v>
      </c>
      <c r="C84" s="570" t="s">
        <v>239</v>
      </c>
      <c r="D84" s="570" t="s">
        <v>84</v>
      </c>
      <c r="E84" s="827">
        <v>15</v>
      </c>
      <c r="F84" s="798" t="s">
        <v>97</v>
      </c>
      <c r="G84" s="474">
        <v>5</v>
      </c>
      <c r="H84" s="474">
        <v>2</v>
      </c>
      <c r="I84" s="474">
        <v>2</v>
      </c>
      <c r="J84" s="570" t="s">
        <v>86</v>
      </c>
      <c r="K84" s="570" t="s">
        <v>87</v>
      </c>
      <c r="L84" s="1916" t="s">
        <v>65</v>
      </c>
      <c r="M84" s="850"/>
      <c r="N84" s="1917"/>
      <c r="O84" s="1918"/>
      <c r="P84" s="551">
        <f>SUM(P85:P85)</f>
        <v>330050</v>
      </c>
      <c r="Q84" s="908"/>
      <c r="R84" s="1295"/>
      <c r="S84" s="910"/>
      <c r="T84" s="912"/>
      <c r="U84" s="756">
        <f t="shared" ref="U84:U85" si="8">SUM(T84)-P84</f>
        <v>-330050</v>
      </c>
      <c r="V84" s="813"/>
    </row>
    <row r="85" spans="2:22" x14ac:dyDescent="0.25">
      <c r="B85" s="654"/>
      <c r="C85" s="570"/>
      <c r="D85" s="570"/>
      <c r="E85" s="826"/>
      <c r="F85" s="570"/>
      <c r="G85" s="474"/>
      <c r="H85" s="474"/>
      <c r="I85" s="474"/>
      <c r="J85" s="474"/>
      <c r="K85" s="570"/>
      <c r="L85" s="2012" t="s">
        <v>652</v>
      </c>
      <c r="M85" s="859">
        <v>943</v>
      </c>
      <c r="N85" s="499" t="s">
        <v>58</v>
      </c>
      <c r="O85" s="477">
        <v>350</v>
      </c>
      <c r="P85" s="548">
        <f>O85*M85</f>
        <v>330050</v>
      </c>
      <c r="Q85" s="908"/>
      <c r="R85" s="1295"/>
      <c r="S85" s="910"/>
      <c r="T85" s="916"/>
      <c r="U85" s="756">
        <f t="shared" si="8"/>
        <v>-330050</v>
      </c>
      <c r="V85" s="813"/>
    </row>
    <row r="86" spans="2:22" x14ac:dyDescent="0.25">
      <c r="B86" s="654"/>
      <c r="C86" s="570"/>
      <c r="D86" s="570"/>
      <c r="E86" s="826"/>
      <c r="F86" s="570"/>
      <c r="G86" s="474"/>
      <c r="H86" s="474"/>
      <c r="I86" s="474"/>
      <c r="J86" s="474"/>
      <c r="K86" s="570"/>
      <c r="L86" s="1759"/>
      <c r="M86" s="859"/>
      <c r="N86" s="499"/>
      <c r="O86" s="477"/>
      <c r="P86" s="548"/>
      <c r="Q86" s="1963"/>
      <c r="R86" s="1964"/>
      <c r="S86" s="1965"/>
      <c r="T86" s="1965"/>
      <c r="U86" s="1962"/>
      <c r="V86" s="813"/>
    </row>
    <row r="87" spans="2:22" x14ac:dyDescent="0.25">
      <c r="B87" s="654">
        <v>1</v>
      </c>
      <c r="C87" s="570" t="s">
        <v>239</v>
      </c>
      <c r="D87" s="570" t="s">
        <v>84</v>
      </c>
      <c r="E87" s="827">
        <v>15</v>
      </c>
      <c r="F87" s="798" t="s">
        <v>97</v>
      </c>
      <c r="G87" s="474">
        <v>5</v>
      </c>
      <c r="H87" s="474">
        <v>2</v>
      </c>
      <c r="I87" s="474">
        <v>2</v>
      </c>
      <c r="J87" s="570">
        <v>11</v>
      </c>
      <c r="K87" s="474"/>
      <c r="L87" s="2009" t="s">
        <v>187</v>
      </c>
      <c r="M87" s="850"/>
      <c r="N87" s="1914"/>
      <c r="O87" s="1915"/>
      <c r="P87" s="2031">
        <f>P88+P91+P94+P97</f>
        <v>13200000</v>
      </c>
      <c r="Q87" s="1966"/>
      <c r="R87" s="1295"/>
      <c r="S87" s="910"/>
      <c r="T87" s="910"/>
      <c r="U87" s="812"/>
      <c r="V87" s="761"/>
    </row>
    <row r="88" spans="2:22" ht="25" x14ac:dyDescent="0.25">
      <c r="B88" s="654">
        <v>1</v>
      </c>
      <c r="C88" s="570" t="s">
        <v>239</v>
      </c>
      <c r="D88" s="570" t="s">
        <v>84</v>
      </c>
      <c r="E88" s="827">
        <v>15</v>
      </c>
      <c r="F88" s="798" t="s">
        <v>97</v>
      </c>
      <c r="G88" s="474">
        <v>5</v>
      </c>
      <c r="H88" s="474">
        <v>2</v>
      </c>
      <c r="I88" s="474">
        <v>2</v>
      </c>
      <c r="J88" s="570">
        <v>11</v>
      </c>
      <c r="K88" s="570" t="s">
        <v>101</v>
      </c>
      <c r="L88" s="2005" t="s">
        <v>743</v>
      </c>
      <c r="M88" s="850"/>
      <c r="N88" s="851"/>
      <c r="O88" s="852"/>
      <c r="P88" s="1594">
        <f>SUM(P89:P90)</f>
        <v>2400000</v>
      </c>
      <c r="Q88" s="1966"/>
      <c r="R88" s="1295"/>
      <c r="S88" s="910"/>
      <c r="T88" s="910"/>
      <c r="U88" s="812"/>
      <c r="V88" s="761"/>
    </row>
    <row r="89" spans="2:22" x14ac:dyDescent="0.25">
      <c r="B89" s="654"/>
      <c r="C89" s="570"/>
      <c r="D89" s="570"/>
      <c r="E89" s="827"/>
      <c r="F89" s="798"/>
      <c r="G89" s="474"/>
      <c r="H89" s="474"/>
      <c r="I89" s="474"/>
      <c r="J89" s="570"/>
      <c r="K89" s="570"/>
      <c r="L89" s="607" t="s">
        <v>648</v>
      </c>
      <c r="M89" s="859">
        <f>2*40</f>
        <v>80</v>
      </c>
      <c r="N89" s="499" t="s">
        <v>151</v>
      </c>
      <c r="O89" s="477">
        <v>15000</v>
      </c>
      <c r="P89" s="548">
        <f>O89*M89</f>
        <v>1200000</v>
      </c>
      <c r="Q89" s="1966"/>
      <c r="R89" s="1295"/>
      <c r="S89" s="910"/>
      <c r="T89" s="910"/>
      <c r="U89" s="812"/>
      <c r="V89" s="761"/>
    </row>
    <row r="90" spans="2:22" x14ac:dyDescent="0.25">
      <c r="B90" s="654"/>
      <c r="C90" s="570"/>
      <c r="D90" s="570"/>
      <c r="E90" s="827"/>
      <c r="F90" s="798"/>
      <c r="G90" s="474"/>
      <c r="H90" s="474"/>
      <c r="I90" s="474"/>
      <c r="J90" s="570"/>
      <c r="K90" s="570"/>
      <c r="L90" s="2013" t="s">
        <v>744</v>
      </c>
      <c r="M90" s="862">
        <f>2*2*40</f>
        <v>160</v>
      </c>
      <c r="N90" s="1982" t="s">
        <v>151</v>
      </c>
      <c r="O90" s="2014">
        <v>7500</v>
      </c>
      <c r="P90" s="1689">
        <f>O90*M90</f>
        <v>1200000</v>
      </c>
      <c r="Q90" s="1966"/>
      <c r="R90" s="1295"/>
      <c r="S90" s="910"/>
      <c r="T90" s="910"/>
      <c r="U90" s="812"/>
      <c r="V90" s="761"/>
    </row>
    <row r="91" spans="2:22" ht="25" x14ac:dyDescent="0.25">
      <c r="B91" s="654"/>
      <c r="C91" s="570"/>
      <c r="D91" s="570"/>
      <c r="E91" s="827"/>
      <c r="F91" s="798"/>
      <c r="G91" s="474"/>
      <c r="H91" s="474"/>
      <c r="I91" s="474"/>
      <c r="J91" s="570"/>
      <c r="K91" s="570"/>
      <c r="L91" s="2015" t="s">
        <v>745</v>
      </c>
      <c r="M91" s="850"/>
      <c r="N91" s="863"/>
      <c r="O91" s="851"/>
      <c r="P91" s="1593">
        <f>SUM(P92:P93)</f>
        <v>3600000</v>
      </c>
      <c r="Q91" s="1966"/>
      <c r="R91" s="1295"/>
      <c r="S91" s="910"/>
      <c r="T91" s="910"/>
      <c r="U91" s="812"/>
      <c r="V91" s="761"/>
    </row>
    <row r="92" spans="2:22" x14ac:dyDescent="0.25">
      <c r="B92" s="654"/>
      <c r="C92" s="570"/>
      <c r="D92" s="570"/>
      <c r="E92" s="827"/>
      <c r="F92" s="798"/>
      <c r="G92" s="474"/>
      <c r="H92" s="474"/>
      <c r="I92" s="474"/>
      <c r="J92" s="570"/>
      <c r="K92" s="570"/>
      <c r="L92" s="501" t="s">
        <v>746</v>
      </c>
      <c r="M92" s="859">
        <f>4*30</f>
        <v>120</v>
      </c>
      <c r="N92" s="499" t="s">
        <v>151</v>
      </c>
      <c r="O92" s="477">
        <v>15000</v>
      </c>
      <c r="P92" s="2032">
        <f>O92*M92</f>
        <v>1800000</v>
      </c>
      <c r="Q92" s="1966"/>
      <c r="R92" s="1295"/>
      <c r="S92" s="910"/>
      <c r="T92" s="910"/>
      <c r="U92" s="812"/>
      <c r="V92" s="761"/>
    </row>
    <row r="93" spans="2:22" x14ac:dyDescent="0.25">
      <c r="B93" s="654"/>
      <c r="C93" s="570"/>
      <c r="D93" s="570"/>
      <c r="E93" s="827"/>
      <c r="F93" s="798"/>
      <c r="G93" s="474"/>
      <c r="H93" s="474"/>
      <c r="I93" s="474"/>
      <c r="J93" s="570"/>
      <c r="K93" s="570"/>
      <c r="L93" s="2016" t="s">
        <v>747</v>
      </c>
      <c r="M93" s="862">
        <f>4*2*30</f>
        <v>240</v>
      </c>
      <c r="N93" s="1982" t="s">
        <v>151</v>
      </c>
      <c r="O93" s="2014">
        <v>7500</v>
      </c>
      <c r="P93" s="2033">
        <f>O93*M93</f>
        <v>1800000</v>
      </c>
      <c r="Q93" s="1966"/>
      <c r="R93" s="1295"/>
      <c r="S93" s="910"/>
      <c r="T93" s="910"/>
      <c r="U93" s="812"/>
      <c r="V93" s="761"/>
    </row>
    <row r="94" spans="2:22" ht="25" x14ac:dyDescent="0.25">
      <c r="B94" s="654"/>
      <c r="C94" s="570"/>
      <c r="D94" s="570"/>
      <c r="E94" s="827"/>
      <c r="F94" s="798"/>
      <c r="G94" s="474"/>
      <c r="H94" s="474"/>
      <c r="I94" s="474"/>
      <c r="J94" s="570"/>
      <c r="K94" s="570"/>
      <c r="L94" s="2017" t="s">
        <v>748</v>
      </c>
      <c r="M94" s="850"/>
      <c r="N94" s="863"/>
      <c r="O94" s="851"/>
      <c r="P94" s="1593">
        <f>SUM(P95:P96)</f>
        <v>5400000</v>
      </c>
      <c r="Q94" s="1966"/>
      <c r="R94" s="1295"/>
      <c r="S94" s="910"/>
      <c r="T94" s="910"/>
      <c r="U94" s="812"/>
      <c r="V94" s="761"/>
    </row>
    <row r="95" spans="2:22" x14ac:dyDescent="0.25">
      <c r="B95" s="654"/>
      <c r="C95" s="570"/>
      <c r="D95" s="570"/>
      <c r="E95" s="827"/>
      <c r="F95" s="798"/>
      <c r="G95" s="474"/>
      <c r="H95" s="474"/>
      <c r="I95" s="474"/>
      <c r="J95" s="570"/>
      <c r="K95" s="570"/>
      <c r="L95" s="501" t="s">
        <v>749</v>
      </c>
      <c r="M95" s="862">
        <f>2*2*60</f>
        <v>240</v>
      </c>
      <c r="N95" s="499" t="s">
        <v>151</v>
      </c>
      <c r="O95" s="477">
        <v>15000</v>
      </c>
      <c r="P95" s="2032">
        <f>O95*M95</f>
        <v>3600000</v>
      </c>
      <c r="Q95" s="1966"/>
      <c r="R95" s="1295"/>
      <c r="S95" s="910"/>
      <c r="T95" s="910"/>
      <c r="U95" s="812"/>
      <c r="V95" s="761"/>
    </row>
    <row r="96" spans="2:22" x14ac:dyDescent="0.25">
      <c r="B96" s="654"/>
      <c r="C96" s="570"/>
      <c r="D96" s="570"/>
      <c r="E96" s="827"/>
      <c r="F96" s="798"/>
      <c r="G96" s="474"/>
      <c r="H96" s="474"/>
      <c r="I96" s="474"/>
      <c r="J96" s="570"/>
      <c r="K96" s="570"/>
      <c r="L96" s="2016" t="s">
        <v>750</v>
      </c>
      <c r="M96" s="862">
        <f>2*2*60</f>
        <v>240</v>
      </c>
      <c r="N96" s="1982" t="s">
        <v>151</v>
      </c>
      <c r="O96" s="2014">
        <v>7500</v>
      </c>
      <c r="P96" s="2033">
        <f>O96*M96</f>
        <v>1800000</v>
      </c>
      <c r="Q96" s="1966"/>
      <c r="R96" s="1295"/>
      <c r="S96" s="910"/>
      <c r="T96" s="910"/>
      <c r="U96" s="812"/>
      <c r="V96" s="761"/>
    </row>
    <row r="97" spans="2:23" ht="25" x14ac:dyDescent="0.25">
      <c r="B97" s="654"/>
      <c r="C97" s="570"/>
      <c r="D97" s="570"/>
      <c r="E97" s="827"/>
      <c r="F97" s="798"/>
      <c r="G97" s="474"/>
      <c r="H97" s="474"/>
      <c r="I97" s="474"/>
      <c r="J97" s="570"/>
      <c r="K97" s="570"/>
      <c r="L97" s="2017" t="s">
        <v>751</v>
      </c>
      <c r="M97" s="850"/>
      <c r="N97" s="863"/>
      <c r="O97" s="851"/>
      <c r="P97" s="1593">
        <f>SUM(P98:P98)</f>
        <v>1800000</v>
      </c>
      <c r="Q97" s="1966"/>
      <c r="R97" s="1295"/>
      <c r="S97" s="910"/>
      <c r="T97" s="910"/>
      <c r="U97" s="812"/>
      <c r="V97" s="761"/>
    </row>
    <row r="98" spans="2:23" x14ac:dyDescent="0.25">
      <c r="B98" s="839"/>
      <c r="C98" s="840"/>
      <c r="D98" s="840"/>
      <c r="E98" s="841"/>
      <c r="F98" s="840"/>
      <c r="G98" s="842"/>
      <c r="H98" s="842"/>
      <c r="I98" s="842"/>
      <c r="J98" s="842"/>
      <c r="K98" s="840"/>
      <c r="L98" s="2016" t="s">
        <v>752</v>
      </c>
      <c r="M98" s="862">
        <f>2*2*60</f>
        <v>240</v>
      </c>
      <c r="N98" s="1982" t="s">
        <v>151</v>
      </c>
      <c r="O98" s="2014">
        <v>7500</v>
      </c>
      <c r="P98" s="2033">
        <f>O98*M98</f>
        <v>1800000</v>
      </c>
      <c r="Q98" s="1966"/>
      <c r="R98" s="1295"/>
      <c r="S98" s="910"/>
      <c r="T98" s="910"/>
      <c r="U98" s="812"/>
      <c r="V98" s="761"/>
    </row>
    <row r="99" spans="2:23" x14ac:dyDescent="0.25">
      <c r="B99" s="925"/>
      <c r="C99" s="926"/>
      <c r="D99" s="926"/>
      <c r="E99" s="927"/>
      <c r="F99" s="926"/>
      <c r="G99" s="928"/>
      <c r="H99" s="928"/>
      <c r="I99" s="928"/>
      <c r="J99" s="928"/>
      <c r="K99" s="926"/>
      <c r="L99" s="1984"/>
      <c r="M99" s="2018"/>
      <c r="N99" s="2019"/>
      <c r="O99" s="2020"/>
      <c r="P99" s="2021"/>
      <c r="Q99" s="2022"/>
      <c r="R99" s="2023"/>
      <c r="S99" s="2024"/>
      <c r="T99" s="2025"/>
      <c r="U99" s="964"/>
      <c r="V99" s="813"/>
    </row>
    <row r="100" spans="2:23" x14ac:dyDescent="0.25">
      <c r="B100" s="700">
        <v>1</v>
      </c>
      <c r="C100" s="701" t="s">
        <v>239</v>
      </c>
      <c r="D100" s="701" t="s">
        <v>84</v>
      </c>
      <c r="E100" s="786">
        <v>15</v>
      </c>
      <c r="F100" s="786" t="s">
        <v>97</v>
      </c>
      <c r="G100" s="865">
        <v>5</v>
      </c>
      <c r="H100" s="865">
        <v>2</v>
      </c>
      <c r="I100" s="906">
        <v>2</v>
      </c>
      <c r="J100" s="906">
        <v>21</v>
      </c>
      <c r="K100" s="865"/>
      <c r="L100" s="907" t="s">
        <v>753</v>
      </c>
      <c r="M100" s="908"/>
      <c r="N100" s="909"/>
      <c r="O100" s="910"/>
      <c r="P100" s="911"/>
      <c r="Q100" s="908"/>
      <c r="R100" s="909"/>
      <c r="S100" s="910"/>
      <c r="T100" s="912">
        <f>T101</f>
        <v>100000000</v>
      </c>
      <c r="U100" s="756">
        <f t="shared" ref="U100:U102" si="9">SUM(T100)-P100</f>
        <v>100000000</v>
      </c>
      <c r="V100" s="813"/>
    </row>
    <row r="101" spans="2:23" x14ac:dyDescent="0.25">
      <c r="B101" s="700">
        <v>1</v>
      </c>
      <c r="C101" s="701" t="s">
        <v>239</v>
      </c>
      <c r="D101" s="701" t="s">
        <v>84</v>
      </c>
      <c r="E101" s="786">
        <v>15</v>
      </c>
      <c r="F101" s="786" t="s">
        <v>97</v>
      </c>
      <c r="G101" s="865">
        <v>5</v>
      </c>
      <c r="H101" s="865">
        <v>2</v>
      </c>
      <c r="I101" s="906">
        <v>2</v>
      </c>
      <c r="J101" s="913">
        <v>21</v>
      </c>
      <c r="K101" s="867" t="s">
        <v>87</v>
      </c>
      <c r="L101" s="914" t="s">
        <v>754</v>
      </c>
      <c r="M101" s="908"/>
      <c r="N101" s="909"/>
      <c r="O101" s="910"/>
      <c r="P101" s="915"/>
      <c r="Q101" s="908"/>
      <c r="R101" s="909"/>
      <c r="S101" s="910"/>
      <c r="T101" s="916">
        <f>T102</f>
        <v>100000000</v>
      </c>
      <c r="U101" s="756">
        <f t="shared" si="9"/>
        <v>100000000</v>
      </c>
      <c r="V101" s="813"/>
    </row>
    <row r="102" spans="2:23" ht="25" x14ac:dyDescent="0.25">
      <c r="B102" s="864"/>
      <c r="C102" s="865"/>
      <c r="D102" s="865"/>
      <c r="E102" s="865"/>
      <c r="F102" s="865"/>
      <c r="G102" s="865"/>
      <c r="H102" s="865"/>
      <c r="I102" s="866"/>
      <c r="J102" s="866"/>
      <c r="K102" s="867"/>
      <c r="L102" s="917" t="s">
        <v>755</v>
      </c>
      <c r="M102" s="918"/>
      <c r="N102" s="919"/>
      <c r="O102" s="920"/>
      <c r="P102" s="921"/>
      <c r="Q102" s="922">
        <v>1</v>
      </c>
      <c r="R102" s="923" t="s">
        <v>653</v>
      </c>
      <c r="S102" s="924">
        <v>100000000</v>
      </c>
      <c r="T102" s="924">
        <f>S102</f>
        <v>100000000</v>
      </c>
      <c r="U102" s="756">
        <f t="shared" si="9"/>
        <v>100000000</v>
      </c>
      <c r="V102" s="813"/>
    </row>
    <row r="103" spans="2:23" x14ac:dyDescent="0.25">
      <c r="B103" s="925"/>
      <c r="C103" s="926"/>
      <c r="D103" s="926"/>
      <c r="E103" s="927"/>
      <c r="F103" s="926"/>
      <c r="G103" s="928"/>
      <c r="H103" s="928"/>
      <c r="I103" s="928"/>
      <c r="J103" s="928"/>
      <c r="K103" s="926"/>
      <c r="L103" s="929"/>
      <c r="M103" s="930"/>
      <c r="N103" s="931"/>
      <c r="O103" s="932"/>
      <c r="P103" s="933"/>
      <c r="Q103" s="930"/>
      <c r="R103" s="931"/>
      <c r="S103" s="932"/>
      <c r="T103" s="933"/>
      <c r="U103" s="898"/>
      <c r="V103" s="813"/>
    </row>
    <row r="104" spans="2:23" ht="14.5" thickBot="1" x14ac:dyDescent="0.3">
      <c r="B104" s="2730" t="s">
        <v>15</v>
      </c>
      <c r="C104" s="2731"/>
      <c r="D104" s="2731"/>
      <c r="E104" s="2731"/>
      <c r="F104" s="2731"/>
      <c r="G104" s="2731"/>
      <c r="H104" s="2731"/>
      <c r="I104" s="2731"/>
      <c r="J104" s="2731"/>
      <c r="K104" s="2731"/>
      <c r="L104" s="2731"/>
      <c r="M104" s="2731"/>
      <c r="N104" s="2731"/>
      <c r="O104" s="2732"/>
      <c r="P104" s="436">
        <f>P28</f>
        <v>467490200</v>
      </c>
      <c r="Q104" s="2915"/>
      <c r="R104" s="2916"/>
      <c r="S104" s="2917"/>
      <c r="T104" s="436">
        <f>T28</f>
        <v>388505100</v>
      </c>
      <c r="U104" s="438">
        <f>SUM(U28:U86)</f>
        <v>-806755700</v>
      </c>
      <c r="V104" s="957">
        <f>U104/P104*100</f>
        <v>-172.57168171653652</v>
      </c>
      <c r="W104" s="22"/>
    </row>
    <row r="105" spans="2:23" ht="12.75" customHeight="1" thickTop="1" x14ac:dyDescent="0.25">
      <c r="B105" s="2918"/>
      <c r="C105" s="2919"/>
      <c r="D105" s="2919"/>
      <c r="E105" s="2919"/>
      <c r="F105" s="2919"/>
      <c r="G105" s="2919"/>
      <c r="H105" s="2919"/>
      <c r="I105" s="2919"/>
      <c r="J105" s="2919"/>
      <c r="K105" s="2919"/>
      <c r="L105" s="2919"/>
      <c r="M105" s="2919"/>
      <c r="N105" s="2919"/>
      <c r="O105" s="2919"/>
      <c r="P105" s="2919"/>
      <c r="Q105" s="2919"/>
      <c r="R105" s="2919"/>
      <c r="S105" s="2919"/>
      <c r="T105" s="2919"/>
      <c r="U105" s="2919"/>
      <c r="V105" s="2920"/>
      <c r="W105" s="22"/>
    </row>
    <row r="106" spans="2:23" x14ac:dyDescent="0.25">
      <c r="B106" s="466"/>
      <c r="C106" s="468"/>
      <c r="D106" s="468"/>
      <c r="E106" s="468"/>
      <c r="F106" s="468"/>
      <c r="G106" s="468"/>
      <c r="H106" s="468"/>
      <c r="I106" s="468"/>
      <c r="J106" s="468"/>
      <c r="K106" s="468"/>
      <c r="L106" s="396"/>
      <c r="M106" s="344"/>
      <c r="N106" s="344"/>
      <c r="O106" s="344"/>
      <c r="P106" s="344"/>
      <c r="Q106" s="468"/>
      <c r="R106" s="344"/>
      <c r="S106" s="2921" t="str">
        <f>'Statistik Forum Data'!S75:U75</f>
        <v>Banda Aceh,               2020</v>
      </c>
      <c r="T106" s="2921"/>
      <c r="U106" s="2921"/>
      <c r="V106" s="936"/>
      <c r="W106" s="102"/>
    </row>
    <row r="107" spans="2:23" x14ac:dyDescent="0.25">
      <c r="B107" s="466"/>
      <c r="C107" s="468"/>
      <c r="D107" s="468"/>
      <c r="E107" s="468"/>
      <c r="F107" s="468"/>
      <c r="G107" s="468"/>
      <c r="H107" s="468"/>
      <c r="I107" s="468"/>
      <c r="J107" s="468"/>
      <c r="K107" s="468"/>
      <c r="L107" s="371" t="str">
        <f>'Statistik Forum Data'!L76</f>
        <v>Mengesahkan,</v>
      </c>
      <c r="M107" s="344"/>
      <c r="N107" s="344"/>
      <c r="O107" s="344"/>
      <c r="P107" s="344"/>
      <c r="Q107" s="468"/>
      <c r="R107" s="344"/>
      <c r="S107" s="2922" t="str">
        <f>'Statistik Forum Data'!S76:U76</f>
        <v>Pengguna Anggaran</v>
      </c>
      <c r="T107" s="2922"/>
      <c r="U107" s="2922"/>
      <c r="V107" s="397"/>
      <c r="W107" s="103"/>
    </row>
    <row r="108" spans="2:23" x14ac:dyDescent="0.25">
      <c r="B108" s="466"/>
      <c r="C108" s="468"/>
      <c r="D108" s="468"/>
      <c r="E108" s="468"/>
      <c r="F108" s="468"/>
      <c r="G108" s="468"/>
      <c r="H108" s="468"/>
      <c r="I108" s="468"/>
      <c r="J108" s="468"/>
      <c r="K108" s="468"/>
      <c r="L108" s="371" t="str">
        <f>'Statistik Forum Data'!L77</f>
        <v>Pejabat Pengelola Keuangan Daerah</v>
      </c>
      <c r="M108" s="344"/>
      <c r="N108" s="344"/>
      <c r="O108" s="344"/>
      <c r="P108" s="344"/>
      <c r="Q108" s="468"/>
      <c r="R108" s="344"/>
      <c r="S108" s="2922" t="str">
        <f>'Statistik Forum Data'!S77:U77</f>
        <v xml:space="preserve"> Satuan Kerja Perangkat Daerah </v>
      </c>
      <c r="T108" s="2922"/>
      <c r="U108" s="2922"/>
      <c r="V108" s="397"/>
      <c r="W108" s="102"/>
    </row>
    <row r="109" spans="2:23" x14ac:dyDescent="0.25">
      <c r="B109" s="466"/>
      <c r="C109" s="468"/>
      <c r="D109" s="468"/>
      <c r="E109" s="468"/>
      <c r="F109" s="468"/>
      <c r="G109" s="468"/>
      <c r="H109" s="468"/>
      <c r="I109" s="468"/>
      <c r="J109" s="468"/>
      <c r="K109" s="468"/>
      <c r="L109" s="394"/>
      <c r="M109" s="344"/>
      <c r="N109" s="344"/>
      <c r="O109" s="344"/>
      <c r="P109" s="344"/>
      <c r="Q109" s="468"/>
      <c r="R109" s="344"/>
      <c r="S109" s="937"/>
      <c r="T109" s="938"/>
      <c r="U109" s="938"/>
      <c r="V109" s="939"/>
      <c r="W109" s="104"/>
    </row>
    <row r="110" spans="2:23" x14ac:dyDescent="0.25">
      <c r="B110" s="466"/>
      <c r="C110" s="468"/>
      <c r="D110" s="468"/>
      <c r="E110" s="468"/>
      <c r="F110" s="468"/>
      <c r="G110" s="468"/>
      <c r="H110" s="468"/>
      <c r="I110" s="468"/>
      <c r="J110" s="468"/>
      <c r="K110" s="468"/>
      <c r="L110" s="394"/>
      <c r="M110" s="344"/>
      <c r="N110" s="344"/>
      <c r="O110" s="344"/>
      <c r="P110" s="344"/>
      <c r="Q110" s="468"/>
      <c r="R110" s="344"/>
      <c r="S110" s="937"/>
      <c r="T110" s="937"/>
      <c r="U110" s="937"/>
      <c r="V110" s="940"/>
      <c r="W110" s="22"/>
    </row>
    <row r="111" spans="2:23" x14ac:dyDescent="0.25">
      <c r="B111" s="466"/>
      <c r="C111" s="468"/>
      <c r="D111" s="468"/>
      <c r="E111" s="468"/>
      <c r="F111" s="468"/>
      <c r="G111" s="468"/>
      <c r="H111" s="468"/>
      <c r="I111" s="468"/>
      <c r="J111" s="468"/>
      <c r="K111" s="468"/>
      <c r="L111" s="941"/>
      <c r="M111" s="344"/>
      <c r="N111" s="344"/>
      <c r="O111" s="344"/>
      <c r="P111" s="344"/>
      <c r="Q111" s="468"/>
      <c r="R111" s="344"/>
      <c r="S111" s="937"/>
      <c r="T111" s="938"/>
      <c r="U111" s="938"/>
      <c r="V111" s="939"/>
      <c r="W111" s="21"/>
    </row>
    <row r="112" spans="2:23" ht="14.25" customHeight="1" x14ac:dyDescent="0.25">
      <c r="B112" s="466"/>
      <c r="C112" s="468"/>
      <c r="D112" s="468"/>
      <c r="E112" s="468"/>
      <c r="F112" s="468"/>
      <c r="G112" s="468"/>
      <c r="H112" s="468"/>
      <c r="I112" s="468"/>
      <c r="J112" s="468"/>
      <c r="K112" s="468"/>
      <c r="L112" s="942" t="str">
        <f>'Statistik Forum Data'!L81</f>
        <v>M. Iqbal Rokan, S.STP.</v>
      </c>
      <c r="M112" s="344"/>
      <c r="N112" s="344"/>
      <c r="O112" s="344"/>
      <c r="P112" s="344"/>
      <c r="Q112" s="468"/>
      <c r="R112" s="344"/>
      <c r="S112" s="2923" t="str">
        <f>'Statistik Forum Data'!S81:U81</f>
        <v>Bustami, SH</v>
      </c>
      <c r="T112" s="2923"/>
      <c r="U112" s="2923"/>
      <c r="V112" s="400"/>
    </row>
    <row r="113" spans="2:22" ht="14.25" customHeight="1" x14ac:dyDescent="0.25">
      <c r="B113" s="466"/>
      <c r="C113" s="468"/>
      <c r="D113" s="468"/>
      <c r="E113" s="468"/>
      <c r="F113" s="468"/>
      <c r="G113" s="468"/>
      <c r="H113" s="468"/>
      <c r="I113" s="468"/>
      <c r="J113" s="468"/>
      <c r="K113" s="468"/>
      <c r="L113" s="371" t="str">
        <f>'Statistik Forum Data'!L82</f>
        <v>Nip. 19780505 199810 1 001</v>
      </c>
      <c r="M113" s="344"/>
      <c r="N113" s="344"/>
      <c r="O113" s="344"/>
      <c r="P113" s="344"/>
      <c r="Q113" s="468"/>
      <c r="R113" s="344"/>
      <c r="S113" s="2922" t="str">
        <f>'Statistik Forum Data'!S82:U82</f>
        <v>Pembina Utama Muda / Nip. 196308241987031004</v>
      </c>
      <c r="T113" s="2922"/>
      <c r="U113" s="2922"/>
      <c r="V113" s="397"/>
    </row>
    <row r="114" spans="2:22" ht="14.25" customHeight="1" x14ac:dyDescent="0.25">
      <c r="B114" s="466"/>
      <c r="C114" s="468"/>
      <c r="D114" s="468"/>
      <c r="E114" s="468"/>
      <c r="F114" s="468"/>
      <c r="G114" s="468"/>
      <c r="H114" s="468"/>
      <c r="I114" s="468"/>
      <c r="J114" s="468"/>
      <c r="K114" s="468"/>
      <c r="L114" s="371"/>
      <c r="M114" s="344"/>
      <c r="N114" s="344"/>
      <c r="O114" s="344"/>
      <c r="P114" s="344"/>
      <c r="Q114" s="468"/>
      <c r="R114" s="344"/>
      <c r="S114" s="371"/>
      <c r="T114" s="371"/>
      <c r="U114" s="371"/>
      <c r="V114" s="943"/>
    </row>
    <row r="115" spans="2:22" ht="14" x14ac:dyDescent="0.25">
      <c r="B115" s="2705" t="s">
        <v>286</v>
      </c>
      <c r="C115" s="2706"/>
      <c r="D115" s="2706"/>
      <c r="E115" s="2706"/>
      <c r="F115" s="2706"/>
      <c r="G115" s="2706"/>
      <c r="H115" s="2706"/>
      <c r="I115" s="2706"/>
      <c r="J115" s="2706"/>
      <c r="K115" s="2706"/>
      <c r="L115" s="2706"/>
      <c r="M115" s="2707" t="s">
        <v>145</v>
      </c>
      <c r="N115" s="2708"/>
      <c r="O115" s="2708"/>
      <c r="P115" s="2708"/>
      <c r="Q115" s="2708"/>
      <c r="R115" s="2708"/>
      <c r="S115" s="2708"/>
      <c r="T115" s="2708"/>
      <c r="U115" s="2708"/>
      <c r="V115" s="2709"/>
    </row>
    <row r="116" spans="2:22" ht="14" x14ac:dyDescent="0.25">
      <c r="B116" s="2893"/>
      <c r="C116" s="2894"/>
      <c r="D116" s="2894"/>
      <c r="E116" s="2894"/>
      <c r="F116" s="2894"/>
      <c r="G116" s="2894"/>
      <c r="H116" s="2894"/>
      <c r="I116" s="2894"/>
      <c r="J116" s="2894"/>
      <c r="K116" s="2894"/>
      <c r="L116" s="2895"/>
      <c r="M116" s="418" t="s">
        <v>142</v>
      </c>
      <c r="N116" s="2747"/>
      <c r="O116" s="2747"/>
      <c r="P116" s="2747"/>
      <c r="Q116" s="2746" t="s">
        <v>143</v>
      </c>
      <c r="R116" s="2746"/>
      <c r="S116" s="2746"/>
      <c r="T116" s="417" t="s">
        <v>144</v>
      </c>
      <c r="U116" s="2746" t="s">
        <v>146</v>
      </c>
      <c r="V116" s="2748"/>
    </row>
    <row r="117" spans="2:22" ht="15" customHeight="1" x14ac:dyDescent="0.25">
      <c r="B117" s="2907" t="s">
        <v>293</v>
      </c>
      <c r="C117" s="2908"/>
      <c r="D117" s="2908"/>
      <c r="E117" s="2908"/>
      <c r="F117" s="2908"/>
      <c r="G117" s="2908"/>
      <c r="H117" s="2908"/>
      <c r="I117" s="2908"/>
      <c r="J117" s="2908"/>
      <c r="K117" s="2908"/>
      <c r="L117" s="944">
        <v>0</v>
      </c>
      <c r="M117" s="945">
        <v>1</v>
      </c>
      <c r="N117" s="2896" t="str">
        <f>'Statistik Forum Data'!N86:P86</f>
        <v>Weri, SE. MA</v>
      </c>
      <c r="O117" s="2897"/>
      <c r="P117" s="2897"/>
      <c r="Q117" s="2898" t="str">
        <f>'Statistik Forum Data'!Q86:S86</f>
        <v>19640525 198903 1 026</v>
      </c>
      <c r="R117" s="2563"/>
      <c r="S117" s="2564"/>
      <c r="T117" s="946" t="s">
        <v>302</v>
      </c>
      <c r="U117" s="947" t="s">
        <v>287</v>
      </c>
      <c r="V117" s="451"/>
    </row>
    <row r="118" spans="2:22" ht="14" x14ac:dyDescent="0.25">
      <c r="B118" s="2907" t="s">
        <v>294</v>
      </c>
      <c r="C118" s="2908"/>
      <c r="D118" s="2908"/>
      <c r="E118" s="2908"/>
      <c r="F118" s="2908"/>
      <c r="G118" s="2908"/>
      <c r="H118" s="2908"/>
      <c r="I118" s="2908"/>
      <c r="J118" s="2908"/>
      <c r="K118" s="2908"/>
      <c r="L118" s="944">
        <v>0</v>
      </c>
      <c r="M118" s="945">
        <v>2</v>
      </c>
      <c r="N118" s="2909" t="str">
        <f>'Statistik Forum Data'!N87:P87</f>
        <v>Azmi, SH</v>
      </c>
      <c r="O118" s="2706"/>
      <c r="P118" s="2706"/>
      <c r="Q118" s="2898" t="str">
        <f>'Statistik Forum Data'!Q87:S87</f>
        <v>19680824 199903 1 004</v>
      </c>
      <c r="R118" s="2563"/>
      <c r="S118" s="2564"/>
      <c r="T118" s="946" t="s">
        <v>303</v>
      </c>
      <c r="U118" s="450"/>
      <c r="V118" s="948" t="s">
        <v>128</v>
      </c>
    </row>
    <row r="119" spans="2:22" ht="13.5" customHeight="1" x14ac:dyDescent="0.25">
      <c r="B119" s="2907" t="s">
        <v>295</v>
      </c>
      <c r="C119" s="2908"/>
      <c r="D119" s="2908"/>
      <c r="E119" s="2908"/>
      <c r="F119" s="2908"/>
      <c r="G119" s="2908"/>
      <c r="H119" s="2908"/>
      <c r="I119" s="2908"/>
      <c r="J119" s="2908"/>
      <c r="K119" s="2908"/>
      <c r="L119" s="944">
        <v>0</v>
      </c>
      <c r="M119" s="949">
        <v>3</v>
      </c>
      <c r="N119" s="2909" t="str">
        <f>'Statistik Forum Data'!N88:P88</f>
        <v>Muhammad Syaifuddin Ambia, ST, MT</v>
      </c>
      <c r="O119" s="2706"/>
      <c r="P119" s="2706"/>
      <c r="Q119" s="2898" t="str">
        <f>'Statistik Forum Data'!Q88:S88</f>
        <v>19741010 200604 1 003</v>
      </c>
      <c r="R119" s="2563"/>
      <c r="S119" s="2564"/>
      <c r="T119" s="946" t="s">
        <v>304</v>
      </c>
      <c r="U119" s="950" t="s">
        <v>292</v>
      </c>
      <c r="V119" s="451"/>
    </row>
    <row r="120" spans="2:22" ht="14" x14ac:dyDescent="0.25">
      <c r="B120" s="2907" t="s">
        <v>296</v>
      </c>
      <c r="C120" s="2908"/>
      <c r="D120" s="2908"/>
      <c r="E120" s="2908"/>
      <c r="F120" s="2908"/>
      <c r="G120" s="2908"/>
      <c r="H120" s="2908"/>
      <c r="I120" s="2908"/>
      <c r="J120" s="2908"/>
      <c r="K120" s="2908"/>
      <c r="L120" s="944">
        <v>0</v>
      </c>
      <c r="M120" s="945">
        <v>4</v>
      </c>
      <c r="N120" s="2909" t="str">
        <f>'Statistik Forum Data'!N89:P89</f>
        <v>Basri, SE, M.Si</v>
      </c>
      <c r="O120" s="2706"/>
      <c r="P120" s="2706"/>
      <c r="Q120" s="2898" t="str">
        <f>'Statistik Forum Data'!Q89:S89</f>
        <v>19691213 199403 1 002</v>
      </c>
      <c r="R120" s="2563"/>
      <c r="S120" s="2564"/>
      <c r="T120" s="946" t="s">
        <v>305</v>
      </c>
      <c r="U120" s="450"/>
      <c r="V120" s="948" t="s">
        <v>288</v>
      </c>
    </row>
    <row r="121" spans="2:22" ht="14" x14ac:dyDescent="0.25">
      <c r="B121" s="2907" t="s">
        <v>297</v>
      </c>
      <c r="C121" s="2908"/>
      <c r="D121" s="2908"/>
      <c r="E121" s="2908"/>
      <c r="F121" s="2908"/>
      <c r="G121" s="2908"/>
      <c r="H121" s="2908"/>
      <c r="I121" s="2908"/>
      <c r="J121" s="2908"/>
      <c r="K121" s="2908"/>
      <c r="L121" s="951">
        <f>SUM(L117:L120)</f>
        <v>0</v>
      </c>
      <c r="M121" s="952">
        <v>5</v>
      </c>
      <c r="N121" s="2909" t="str">
        <f>'Statistik Forum Data'!N90:P90</f>
        <v>Dewi Shinta Reza, SE. Ak</v>
      </c>
      <c r="O121" s="2706"/>
      <c r="P121" s="2706"/>
      <c r="Q121" s="2898" t="str">
        <f>'Statistik Forum Data'!Q90:S90</f>
        <v>19750630 200212 2 003</v>
      </c>
      <c r="R121" s="2563"/>
      <c r="S121" s="2564"/>
      <c r="T121" s="946" t="s">
        <v>306</v>
      </c>
      <c r="U121" s="950" t="s">
        <v>289</v>
      </c>
      <c r="V121" s="451"/>
    </row>
    <row r="122" spans="2:22" ht="14" x14ac:dyDescent="0.25">
      <c r="B122" s="2893"/>
      <c r="C122" s="2894"/>
      <c r="D122" s="2894"/>
      <c r="E122" s="2894"/>
      <c r="F122" s="2894"/>
      <c r="G122" s="2894"/>
      <c r="H122" s="2894"/>
      <c r="I122" s="2894"/>
      <c r="J122" s="2894"/>
      <c r="K122" s="2894"/>
      <c r="L122" s="2895"/>
      <c r="M122" s="952">
        <v>6</v>
      </c>
      <c r="N122" s="2896" t="str">
        <f>'Statistik Forum Data'!N91:P91</f>
        <v>Harisman, S.STP, M.Ec.Dev</v>
      </c>
      <c r="O122" s="2897"/>
      <c r="P122" s="2897"/>
      <c r="Q122" s="2898" t="str">
        <f>'Statistik Forum Data'!Q91:S91</f>
        <v>19830101 200112 1 003</v>
      </c>
      <c r="R122" s="2563"/>
      <c r="S122" s="2564"/>
      <c r="T122" s="946" t="s">
        <v>307</v>
      </c>
      <c r="U122" s="450"/>
      <c r="V122" s="948" t="s">
        <v>290</v>
      </c>
    </row>
    <row r="123" spans="2:22" ht="14.5" thickBot="1" x14ac:dyDescent="0.3">
      <c r="B123" s="2899"/>
      <c r="C123" s="2900"/>
      <c r="D123" s="2900"/>
      <c r="E123" s="2900"/>
      <c r="F123" s="2900"/>
      <c r="G123" s="2900"/>
      <c r="H123" s="2900"/>
      <c r="I123" s="2900"/>
      <c r="J123" s="2900"/>
      <c r="K123" s="2900"/>
      <c r="L123" s="2901"/>
      <c r="M123" s="953">
        <v>7</v>
      </c>
      <c r="N123" s="2902" t="str">
        <f>'Statistik Forum Data'!N92:P92</f>
        <v>Alriandi, S.STP, M.Si</v>
      </c>
      <c r="O123" s="2903"/>
      <c r="P123" s="2903"/>
      <c r="Q123" s="2904" t="str">
        <f>'Statistik Forum Data'!Q92:S92</f>
        <v>19830308 200112 1 001</v>
      </c>
      <c r="R123" s="2905"/>
      <c r="S123" s="2906"/>
      <c r="T123" s="954" t="s">
        <v>308</v>
      </c>
      <c r="U123" s="955" t="s">
        <v>291</v>
      </c>
      <c r="V123" s="956"/>
    </row>
    <row r="124" spans="2:22" ht="13" thickTop="1" x14ac:dyDescent="0.25">
      <c r="B124" s="342"/>
      <c r="C124" s="342"/>
      <c r="D124" s="342"/>
      <c r="E124" s="342"/>
      <c r="F124" s="342"/>
      <c r="G124" s="342"/>
      <c r="H124" s="342"/>
      <c r="I124" s="342"/>
      <c r="J124" s="342"/>
      <c r="K124" s="342"/>
      <c r="L124" s="342"/>
      <c r="M124" s="342"/>
      <c r="N124" s="342"/>
      <c r="O124" s="342"/>
      <c r="P124" s="342"/>
    </row>
    <row r="125" spans="2:22" x14ac:dyDescent="0.25">
      <c r="B125" s="342"/>
      <c r="C125" s="342"/>
      <c r="D125" s="342"/>
      <c r="E125" s="342"/>
      <c r="F125" s="342"/>
      <c r="G125" s="342"/>
      <c r="H125" s="342"/>
      <c r="I125" s="342"/>
      <c r="J125" s="342"/>
      <c r="K125" s="342"/>
      <c r="L125" s="342"/>
      <c r="M125" s="342"/>
      <c r="N125" s="342"/>
      <c r="O125" s="342"/>
      <c r="P125" s="342"/>
    </row>
    <row r="126" spans="2:22" x14ac:dyDescent="0.25">
      <c r="B126" s="342"/>
      <c r="C126" s="342"/>
      <c r="D126" s="342"/>
      <c r="E126" s="342"/>
      <c r="F126" s="342"/>
      <c r="G126" s="342"/>
      <c r="H126" s="342"/>
      <c r="I126" s="342"/>
      <c r="J126" s="342"/>
      <c r="K126" s="342"/>
      <c r="L126" s="342"/>
      <c r="M126" s="342"/>
      <c r="N126" s="342"/>
      <c r="O126" s="342"/>
      <c r="P126" s="342"/>
    </row>
    <row r="127" spans="2:22" x14ac:dyDescent="0.25">
      <c r="B127" s="342"/>
      <c r="C127" s="342"/>
      <c r="D127" s="342"/>
      <c r="E127" s="342"/>
      <c r="F127" s="342"/>
      <c r="G127" s="342"/>
      <c r="H127" s="342"/>
      <c r="I127" s="342"/>
      <c r="J127" s="342"/>
      <c r="K127" s="342"/>
      <c r="L127" s="342"/>
      <c r="M127" s="342"/>
      <c r="N127" s="342"/>
      <c r="O127" s="342"/>
      <c r="P127" s="342"/>
    </row>
    <row r="128" spans="2:22" x14ac:dyDescent="0.25">
      <c r="B128" s="342"/>
      <c r="C128" s="342"/>
      <c r="D128" s="342"/>
      <c r="E128" s="342"/>
      <c r="F128" s="342"/>
      <c r="G128" s="342"/>
      <c r="H128" s="342"/>
      <c r="I128" s="342"/>
      <c r="J128" s="342"/>
      <c r="K128" s="342"/>
      <c r="L128" s="342"/>
      <c r="M128" s="342"/>
      <c r="N128" s="342"/>
      <c r="O128" s="342"/>
      <c r="P128" s="342"/>
    </row>
    <row r="129" spans="2:16" x14ac:dyDescent="0.25">
      <c r="B129" s="342"/>
      <c r="C129" s="342"/>
      <c r="D129" s="342"/>
      <c r="E129" s="342"/>
      <c r="F129" s="342"/>
      <c r="G129" s="342"/>
      <c r="H129" s="342"/>
      <c r="I129" s="342"/>
      <c r="J129" s="342"/>
      <c r="K129" s="342"/>
      <c r="L129" s="342"/>
      <c r="M129" s="342"/>
      <c r="N129" s="342"/>
      <c r="O129" s="342"/>
      <c r="P129" s="342"/>
    </row>
    <row r="130" spans="2:16" x14ac:dyDescent="0.25">
      <c r="B130" s="342"/>
      <c r="C130" s="342"/>
      <c r="D130" s="342"/>
      <c r="E130" s="342"/>
      <c r="F130" s="342"/>
      <c r="G130" s="342"/>
      <c r="H130" s="342"/>
      <c r="I130" s="342"/>
      <c r="J130" s="342"/>
      <c r="K130" s="342"/>
      <c r="L130" s="342"/>
      <c r="M130" s="342"/>
      <c r="N130" s="342"/>
      <c r="O130" s="342"/>
      <c r="P130" s="342"/>
    </row>
    <row r="131" spans="2:16" x14ac:dyDescent="0.25">
      <c r="B131" s="342"/>
      <c r="C131" s="342"/>
      <c r="D131" s="342"/>
      <c r="E131" s="342"/>
      <c r="F131" s="342"/>
      <c r="G131" s="342"/>
      <c r="H131" s="342"/>
      <c r="I131" s="342"/>
      <c r="J131" s="342"/>
      <c r="K131" s="342"/>
      <c r="L131" s="342"/>
      <c r="M131" s="342"/>
      <c r="N131" s="342"/>
      <c r="O131" s="342"/>
      <c r="P131" s="342"/>
    </row>
    <row r="132" spans="2:16" x14ac:dyDescent="0.25">
      <c r="B132" s="342"/>
      <c r="C132" s="342"/>
      <c r="D132" s="342"/>
      <c r="E132" s="342"/>
      <c r="F132" s="342"/>
      <c r="G132" s="342"/>
      <c r="H132" s="342"/>
      <c r="I132" s="342"/>
      <c r="J132" s="342"/>
      <c r="K132" s="342"/>
      <c r="L132" s="342"/>
      <c r="M132" s="342"/>
      <c r="N132" s="342"/>
      <c r="O132" s="342"/>
      <c r="P132" s="342"/>
    </row>
    <row r="133" spans="2:16" x14ac:dyDescent="0.25">
      <c r="B133" s="342"/>
      <c r="C133" s="342"/>
      <c r="D133" s="342"/>
      <c r="E133" s="342"/>
      <c r="F133" s="342"/>
      <c r="G133" s="342"/>
      <c r="H133" s="342"/>
      <c r="I133" s="342"/>
      <c r="J133" s="342"/>
      <c r="K133" s="342"/>
      <c r="L133" s="342"/>
      <c r="M133" s="342"/>
      <c r="N133" s="342"/>
      <c r="O133" s="342"/>
      <c r="P133" s="342"/>
    </row>
    <row r="134" spans="2:16" x14ac:dyDescent="0.25">
      <c r="B134" s="342"/>
      <c r="C134" s="342"/>
      <c r="D134" s="342"/>
      <c r="E134" s="342"/>
      <c r="F134" s="342"/>
      <c r="G134" s="342"/>
      <c r="H134" s="342"/>
      <c r="I134" s="342"/>
      <c r="J134" s="342"/>
      <c r="K134" s="342"/>
      <c r="L134" s="342"/>
      <c r="M134" s="342"/>
      <c r="N134" s="342"/>
      <c r="O134" s="342"/>
      <c r="P134" s="342"/>
    </row>
    <row r="135" spans="2:16" x14ac:dyDescent="0.25">
      <c r="B135" s="342"/>
      <c r="C135" s="342"/>
      <c r="D135" s="342"/>
      <c r="E135" s="342"/>
      <c r="F135" s="342"/>
      <c r="G135" s="342"/>
      <c r="H135" s="342"/>
      <c r="I135" s="342"/>
      <c r="J135" s="342"/>
      <c r="K135" s="342"/>
      <c r="L135" s="342"/>
      <c r="M135" s="342"/>
      <c r="N135" s="342"/>
      <c r="O135" s="342"/>
      <c r="P135" s="342"/>
    </row>
    <row r="136" spans="2:16" x14ac:dyDescent="0.25">
      <c r="B136" s="342"/>
      <c r="C136" s="342"/>
      <c r="D136" s="342"/>
      <c r="E136" s="342"/>
      <c r="F136" s="342"/>
      <c r="G136" s="342"/>
      <c r="H136" s="342"/>
      <c r="I136" s="342"/>
      <c r="J136" s="342"/>
      <c r="K136" s="342"/>
      <c r="L136" s="342"/>
      <c r="M136" s="342"/>
      <c r="N136" s="342"/>
      <c r="O136" s="342"/>
      <c r="P136" s="342"/>
    </row>
    <row r="137" spans="2:16" x14ac:dyDescent="0.25">
      <c r="B137" s="342"/>
      <c r="C137" s="342"/>
      <c r="D137" s="342"/>
      <c r="E137" s="342"/>
      <c r="F137" s="342"/>
      <c r="G137" s="342"/>
      <c r="H137" s="342"/>
      <c r="I137" s="342"/>
      <c r="J137" s="342"/>
      <c r="K137" s="342"/>
      <c r="L137" s="342"/>
      <c r="M137" s="342"/>
      <c r="N137" s="342"/>
      <c r="O137" s="342"/>
      <c r="P137" s="342"/>
    </row>
    <row r="138" spans="2:16" x14ac:dyDescent="0.25">
      <c r="B138" s="342"/>
      <c r="C138" s="342"/>
      <c r="D138" s="342"/>
      <c r="E138" s="342"/>
      <c r="F138" s="342"/>
      <c r="G138" s="342"/>
      <c r="H138" s="342"/>
      <c r="I138" s="342"/>
      <c r="J138" s="342"/>
      <c r="K138" s="342"/>
      <c r="L138" s="342"/>
      <c r="M138" s="342"/>
      <c r="N138" s="342"/>
      <c r="O138" s="342"/>
      <c r="P138" s="342"/>
    </row>
    <row r="139" spans="2:16" x14ac:dyDescent="0.25">
      <c r="B139" s="342"/>
      <c r="C139" s="342"/>
      <c r="D139" s="342"/>
      <c r="E139" s="342"/>
      <c r="F139" s="342"/>
      <c r="G139" s="342"/>
      <c r="H139" s="342"/>
      <c r="I139" s="342"/>
      <c r="J139" s="342"/>
      <c r="K139" s="342"/>
      <c r="L139" s="342"/>
      <c r="M139" s="342"/>
      <c r="N139" s="342"/>
      <c r="O139" s="342"/>
      <c r="P139" s="342"/>
    </row>
    <row r="140" spans="2:16" x14ac:dyDescent="0.25">
      <c r="B140" s="342"/>
      <c r="C140" s="342"/>
      <c r="D140" s="342"/>
      <c r="E140" s="342"/>
      <c r="F140" s="342"/>
      <c r="G140" s="342"/>
      <c r="H140" s="342"/>
      <c r="I140" s="342"/>
      <c r="J140" s="342"/>
      <c r="K140" s="342"/>
      <c r="L140" s="342"/>
      <c r="M140" s="342"/>
      <c r="N140" s="342"/>
      <c r="O140" s="342"/>
      <c r="P140"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15:L115"/>
    <mergeCell ref="M115:V115"/>
    <mergeCell ref="B27:K27"/>
    <mergeCell ref="B104:O104"/>
    <mergeCell ref="Q104:S104"/>
    <mergeCell ref="B105:V105"/>
    <mergeCell ref="S106:U106"/>
    <mergeCell ref="S107:U107"/>
    <mergeCell ref="S108:U108"/>
    <mergeCell ref="S112:U112"/>
    <mergeCell ref="S113:U113"/>
    <mergeCell ref="B116:L116"/>
    <mergeCell ref="N116:P116"/>
    <mergeCell ref="Q116:S116"/>
    <mergeCell ref="U116:V116"/>
    <mergeCell ref="B117:K117"/>
    <mergeCell ref="N117:P117"/>
    <mergeCell ref="Q117:S117"/>
    <mergeCell ref="B118:K118"/>
    <mergeCell ref="N118:P118"/>
    <mergeCell ref="Q118:S118"/>
    <mergeCell ref="B119:K119"/>
    <mergeCell ref="N119:P119"/>
    <mergeCell ref="Q119:S119"/>
    <mergeCell ref="B120:K120"/>
    <mergeCell ref="N120:P120"/>
    <mergeCell ref="Q120:S120"/>
    <mergeCell ref="B121:K121"/>
    <mergeCell ref="N121:P121"/>
    <mergeCell ref="Q121:S121"/>
    <mergeCell ref="B122:L122"/>
    <mergeCell ref="N122:P122"/>
    <mergeCell ref="Q122:S122"/>
    <mergeCell ref="B123:L123"/>
    <mergeCell ref="N123:P123"/>
    <mergeCell ref="Q123:S123"/>
  </mergeCells>
  <pageMargins left="0.511811023622047" right="1.0255905510000001" top="0.511811023622047" bottom="0.47244094488188998" header="0.31496062992126" footer="0.31496062992126"/>
  <pageSetup paperSize="5" scale="50" orientation="landscape" horizontalDpi="4294967293" verticalDpi="4294967293" r:id="rId1"/>
  <rowBreaks count="1" manualBreakCount="1">
    <brk id="69" min="1" max="21"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1:X176"/>
  <sheetViews>
    <sheetView view="pageBreakPreview" topLeftCell="A38" zoomScale="73" zoomScaleNormal="70" zoomScaleSheetLayoutView="56" workbookViewId="0">
      <selection activeCell="T116" sqref="T116"/>
    </sheetView>
  </sheetViews>
  <sheetFormatPr defaultColWidth="8.7265625" defaultRowHeight="12.5" x14ac:dyDescent="0.25"/>
  <cols>
    <col min="1" max="1" width="3.453125" style="341" customWidth="1"/>
    <col min="2" max="11" width="3" style="341" customWidth="1"/>
    <col min="12" max="12" width="47.1796875" style="341" customWidth="1"/>
    <col min="13" max="13" width="8.81640625" style="341" customWidth="1"/>
    <col min="14" max="14" width="8" style="341" customWidth="1"/>
    <col min="15" max="15" width="15.1796875" style="341" customWidth="1"/>
    <col min="16" max="16" width="22" style="341" customWidth="1"/>
    <col min="17" max="17" width="9" style="341" customWidth="1"/>
    <col min="18" max="18" width="8" style="341" customWidth="1"/>
    <col min="19" max="19" width="15.1796875" style="341" customWidth="1"/>
    <col min="20" max="20" width="22.08984375" style="341" customWidth="1"/>
    <col min="21" max="21" width="19.90625"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965" t="s">
        <v>328</v>
      </c>
      <c r="T3" s="2966"/>
      <c r="U3" s="2653"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'Smart UUD40'!B5:V5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973"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974"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975" t="s">
        <v>148</v>
      </c>
      <c r="M8" s="2948" t="s">
        <v>279</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163</v>
      </c>
      <c r="M9" s="2868" t="s">
        <v>329</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'Smart UUD40'!M10:V10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90</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941"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418" t="s">
        <v>270</v>
      </c>
      <c r="M15" s="2945" t="s">
        <v>281</v>
      </c>
      <c r="N15" s="2943"/>
      <c r="O15" s="2943"/>
      <c r="P15" s="2946"/>
      <c r="Q15" s="2747" t="s">
        <v>270</v>
      </c>
      <c r="R15" s="2747"/>
      <c r="S15" s="2747"/>
      <c r="T15" s="2747" t="s">
        <v>281</v>
      </c>
      <c r="U15" s="2747"/>
      <c r="V15" s="2947"/>
      <c r="W15" s="520"/>
    </row>
    <row r="16" spans="2:24" ht="42.5" customHeight="1" x14ac:dyDescent="0.25">
      <c r="B16" s="2834" t="s">
        <v>14</v>
      </c>
      <c r="C16" s="2835"/>
      <c r="D16" s="2835"/>
      <c r="E16" s="2835"/>
      <c r="F16" s="2835"/>
      <c r="G16" s="2835"/>
      <c r="H16" s="2835"/>
      <c r="I16" s="2835"/>
      <c r="J16" s="2835"/>
      <c r="K16" s="2836"/>
      <c r="L16" s="977" t="s">
        <v>181</v>
      </c>
      <c r="M16" s="2507" t="s">
        <v>508</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36"/>
      <c r="L17" s="811" t="s">
        <v>430</v>
      </c>
      <c r="M17" s="2933" t="str">
        <f>L17</f>
        <v>Jumlah Dana Yang Dibutuhkan</v>
      </c>
      <c r="N17" s="2933"/>
      <c r="O17" s="2933"/>
      <c r="P17" s="2933"/>
      <c r="Q17" s="2934">
        <f>P28</f>
        <v>2363734350</v>
      </c>
      <c r="R17" s="2935"/>
      <c r="S17" s="2936"/>
      <c r="T17" s="2937">
        <f>T28</f>
        <v>1921938942</v>
      </c>
      <c r="U17" s="2937"/>
      <c r="V17" s="2938"/>
    </row>
    <row r="18" spans="2:22" ht="14" x14ac:dyDescent="0.25">
      <c r="B18" s="2834" t="s">
        <v>136</v>
      </c>
      <c r="C18" s="2835"/>
      <c r="D18" s="2835"/>
      <c r="E18" s="2835"/>
      <c r="F18" s="2835"/>
      <c r="G18" s="2835"/>
      <c r="H18" s="2835"/>
      <c r="I18" s="2835"/>
      <c r="J18" s="2835"/>
      <c r="K18" s="2836"/>
      <c r="L18" s="977" t="s">
        <v>511</v>
      </c>
      <c r="M18" s="2875" t="s">
        <v>511</v>
      </c>
      <c r="N18" s="2875"/>
      <c r="O18" s="2875"/>
      <c r="P18" s="2875"/>
      <c r="Q18" s="2616" t="s">
        <v>536</v>
      </c>
      <c r="R18" s="2616"/>
      <c r="S18" s="2616"/>
      <c r="T18" s="2616" t="s">
        <v>512</v>
      </c>
      <c r="U18" s="2616"/>
      <c r="V18" s="2837"/>
    </row>
    <row r="19" spans="2:22" ht="14" x14ac:dyDescent="0.25">
      <c r="B19" s="2834" t="s">
        <v>137</v>
      </c>
      <c r="C19" s="2835"/>
      <c r="D19" s="2835"/>
      <c r="E19" s="2835"/>
      <c r="F19" s="2835"/>
      <c r="G19" s="2835"/>
      <c r="H19" s="2835"/>
      <c r="I19" s="2835"/>
      <c r="J19" s="2835"/>
      <c r="K19" s="2836"/>
      <c r="L19" s="977" t="s">
        <v>513</v>
      </c>
      <c r="M19" s="2875" t="s">
        <v>513</v>
      </c>
      <c r="N19" s="2875"/>
      <c r="O19" s="2875"/>
      <c r="P19" s="2875"/>
      <c r="Q19" s="2830" t="s">
        <v>514</v>
      </c>
      <c r="R19" s="2616"/>
      <c r="S19" s="2616"/>
      <c r="T19" s="2830" t="s">
        <v>514</v>
      </c>
      <c r="U19" s="2616"/>
      <c r="V19" s="2837"/>
    </row>
    <row r="20" spans="2:22" ht="14.25" customHeight="1" x14ac:dyDescent="0.25">
      <c r="B20" s="2931" t="s">
        <v>330</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468"/>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411" t="s">
        <v>122</v>
      </c>
      <c r="Q24" s="2690" t="s">
        <v>127</v>
      </c>
      <c r="R24" s="2693" t="s">
        <v>8</v>
      </c>
      <c r="S24" s="2693"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411"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10"/>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983" t="s">
        <v>7</v>
      </c>
      <c r="Q27" s="984">
        <v>7</v>
      </c>
      <c r="R27" s="984">
        <v>8</v>
      </c>
      <c r="S27" s="985">
        <v>9</v>
      </c>
      <c r="T27" s="986" t="s">
        <v>275</v>
      </c>
      <c r="U27" s="415" t="s">
        <v>274</v>
      </c>
      <c r="V27" s="987">
        <v>12</v>
      </c>
    </row>
    <row r="28" spans="2:22" ht="13" thickTop="1" x14ac:dyDescent="0.25">
      <c r="B28" s="1934">
        <v>1</v>
      </c>
      <c r="C28" s="1935" t="s">
        <v>239</v>
      </c>
      <c r="D28" s="1935" t="s">
        <v>84</v>
      </c>
      <c r="E28" s="1936"/>
      <c r="F28" s="1376"/>
      <c r="G28" s="601">
        <v>5</v>
      </c>
      <c r="H28" s="601">
        <v>2</v>
      </c>
      <c r="I28" s="1376"/>
      <c r="J28" s="1376"/>
      <c r="K28" s="1376"/>
      <c r="L28" s="2041" t="s">
        <v>54</v>
      </c>
      <c r="M28" s="553"/>
      <c r="N28" s="553"/>
      <c r="O28" s="554"/>
      <c r="P28" s="2161">
        <f>P29</f>
        <v>2363734350</v>
      </c>
      <c r="Q28" s="1247"/>
      <c r="R28" s="1246"/>
      <c r="S28" s="1247"/>
      <c r="T28" s="2161">
        <f>T29</f>
        <v>1921938942</v>
      </c>
      <c r="U28" s="2185">
        <f>SUM(T28)-P28</f>
        <v>-441795408</v>
      </c>
      <c r="V28" s="1211">
        <f>U28/T28*100</f>
        <v>-22.986963755480218</v>
      </c>
    </row>
    <row r="29" spans="2:22" ht="25" x14ac:dyDescent="0.25">
      <c r="B29" s="486">
        <v>1</v>
      </c>
      <c r="C29" s="487" t="s">
        <v>239</v>
      </c>
      <c r="D29" s="487" t="s">
        <v>84</v>
      </c>
      <c r="E29" s="1650">
        <v>15</v>
      </c>
      <c r="F29" s="487"/>
      <c r="G29" s="473"/>
      <c r="H29" s="473"/>
      <c r="I29" s="489"/>
      <c r="J29" s="489"/>
      <c r="K29" s="489"/>
      <c r="L29" s="1741" t="s">
        <v>981</v>
      </c>
      <c r="M29" s="491"/>
      <c r="N29" s="491"/>
      <c r="O29" s="492"/>
      <c r="P29" s="868">
        <f>P30</f>
        <v>2363734350</v>
      </c>
      <c r="Q29" s="755"/>
      <c r="R29" s="754"/>
      <c r="S29" s="755"/>
      <c r="T29" s="868">
        <f>T30</f>
        <v>1921938942</v>
      </c>
      <c r="U29" s="2186"/>
      <c r="V29" s="1211"/>
    </row>
    <row r="30" spans="2:22" ht="25" x14ac:dyDescent="0.25">
      <c r="B30" s="486">
        <v>1</v>
      </c>
      <c r="C30" s="487" t="s">
        <v>239</v>
      </c>
      <c r="D30" s="487" t="s">
        <v>84</v>
      </c>
      <c r="E30" s="1650">
        <v>15</v>
      </c>
      <c r="F30" s="1650" t="s">
        <v>86</v>
      </c>
      <c r="G30" s="473"/>
      <c r="H30" s="473"/>
      <c r="I30" s="489"/>
      <c r="J30" s="489"/>
      <c r="K30" s="487"/>
      <c r="L30" s="1678" t="s">
        <v>980</v>
      </c>
      <c r="M30" s="491"/>
      <c r="N30" s="492"/>
      <c r="O30" s="492"/>
      <c r="P30" s="868">
        <f>P32+P67+P116</f>
        <v>2363734350</v>
      </c>
      <c r="Q30" s="755"/>
      <c r="R30" s="755"/>
      <c r="S30" s="1251"/>
      <c r="T30" s="868">
        <f>T32+T67+T116</f>
        <v>1921938942</v>
      </c>
      <c r="U30" s="2040">
        <f>SUM(T30)-P30</f>
        <v>-441795408</v>
      </c>
      <c r="V30" s="1196">
        <f>U30/T30*100</f>
        <v>-22.986963755480218</v>
      </c>
    </row>
    <row r="31" spans="2:22" x14ac:dyDescent="0.25">
      <c r="B31" s="486"/>
      <c r="C31" s="487"/>
      <c r="D31" s="487"/>
      <c r="E31" s="1650"/>
      <c r="F31" s="487"/>
      <c r="G31" s="473"/>
      <c r="H31" s="473"/>
      <c r="I31" s="489"/>
      <c r="J31" s="489"/>
      <c r="K31" s="487"/>
      <c r="L31" s="2042"/>
      <c r="M31" s="491"/>
      <c r="N31" s="492"/>
      <c r="O31" s="1682"/>
      <c r="P31" s="548"/>
      <c r="Q31" s="2174"/>
      <c r="R31" s="1253"/>
      <c r="S31" s="1254"/>
      <c r="T31" s="1249"/>
      <c r="U31" s="2184"/>
      <c r="V31" s="1194"/>
    </row>
    <row r="32" spans="2:22" x14ac:dyDescent="0.25">
      <c r="B32" s="486">
        <v>1</v>
      </c>
      <c r="C32" s="487" t="s">
        <v>239</v>
      </c>
      <c r="D32" s="487" t="s">
        <v>84</v>
      </c>
      <c r="E32" s="1650">
        <v>15</v>
      </c>
      <c r="F32" s="1650" t="s">
        <v>86</v>
      </c>
      <c r="G32" s="473">
        <v>5</v>
      </c>
      <c r="H32" s="473">
        <v>2</v>
      </c>
      <c r="I32" s="489">
        <v>1</v>
      </c>
      <c r="J32" s="489"/>
      <c r="K32" s="489"/>
      <c r="L32" s="494" t="s">
        <v>39</v>
      </c>
      <c r="M32" s="571"/>
      <c r="N32" s="500"/>
      <c r="O32" s="1683"/>
      <c r="P32" s="547">
        <f>P33+P60</f>
        <v>67100000</v>
      </c>
      <c r="Q32" s="2174"/>
      <c r="R32" s="789"/>
      <c r="S32" s="1252"/>
      <c r="T32" s="1249">
        <f>T33</f>
        <v>8100000</v>
      </c>
      <c r="U32" s="2184"/>
      <c r="V32" s="1194"/>
    </row>
    <row r="33" spans="2:22" x14ac:dyDescent="0.25">
      <c r="B33" s="486">
        <v>1</v>
      </c>
      <c r="C33" s="487" t="s">
        <v>239</v>
      </c>
      <c r="D33" s="487" t="s">
        <v>84</v>
      </c>
      <c r="E33" s="1650">
        <v>15</v>
      </c>
      <c r="F33" s="1650" t="s">
        <v>86</v>
      </c>
      <c r="G33" s="473">
        <v>5</v>
      </c>
      <c r="H33" s="473">
        <v>2</v>
      </c>
      <c r="I33" s="489">
        <v>1</v>
      </c>
      <c r="J33" s="487" t="s">
        <v>84</v>
      </c>
      <c r="K33" s="489"/>
      <c r="L33" s="2043" t="s">
        <v>96</v>
      </c>
      <c r="M33" s="571"/>
      <c r="N33" s="1684"/>
      <c r="O33" s="1685"/>
      <c r="P33" s="547">
        <f>P34+P37</f>
        <v>65100000</v>
      </c>
      <c r="Q33" s="2174"/>
      <c r="R33" s="1253"/>
      <c r="S33" s="1254"/>
      <c r="T33" s="547">
        <f>T34+T56</f>
        <v>8100000</v>
      </c>
      <c r="U33" s="2184"/>
      <c r="V33" s="1194"/>
    </row>
    <row r="34" spans="2:22" x14ac:dyDescent="0.25">
      <c r="B34" s="486">
        <v>1</v>
      </c>
      <c r="C34" s="487" t="s">
        <v>239</v>
      </c>
      <c r="D34" s="487" t="s">
        <v>84</v>
      </c>
      <c r="E34" s="1650">
        <v>15</v>
      </c>
      <c r="F34" s="1650" t="s">
        <v>86</v>
      </c>
      <c r="G34" s="473">
        <v>5</v>
      </c>
      <c r="H34" s="473">
        <v>2</v>
      </c>
      <c r="I34" s="489">
        <v>1</v>
      </c>
      <c r="J34" s="487" t="s">
        <v>84</v>
      </c>
      <c r="K34" s="487" t="s">
        <v>84</v>
      </c>
      <c r="L34" s="2044" t="s">
        <v>162</v>
      </c>
      <c r="M34" s="2045"/>
      <c r="N34" s="1326"/>
      <c r="O34" s="1917"/>
      <c r="P34" s="551">
        <f>SUM(P35:P35)</f>
        <v>2100000</v>
      </c>
      <c r="Q34" s="1217"/>
      <c r="R34" s="1216"/>
      <c r="S34" s="1255"/>
      <c r="T34" s="1230">
        <f>T35</f>
        <v>2100000</v>
      </c>
      <c r="U34" s="2040">
        <f>SUM(T34)-P34</f>
        <v>0</v>
      </c>
      <c r="V34" s="1196">
        <f t="shared" ref="V34" si="0">U34/T34*100</f>
        <v>0</v>
      </c>
    </row>
    <row r="35" spans="2:22" ht="37.5" x14ac:dyDescent="0.25">
      <c r="B35" s="486"/>
      <c r="C35" s="487"/>
      <c r="D35" s="487"/>
      <c r="E35" s="1932"/>
      <c r="F35" s="487"/>
      <c r="G35" s="489"/>
      <c r="H35" s="489"/>
      <c r="I35" s="489"/>
      <c r="J35" s="487"/>
      <c r="K35" s="487"/>
      <c r="L35" s="2046" t="s">
        <v>843</v>
      </c>
      <c r="M35" s="134">
        <v>6</v>
      </c>
      <c r="N35" s="863" t="s">
        <v>52</v>
      </c>
      <c r="O35" s="880">
        <v>350000</v>
      </c>
      <c r="P35" s="1594">
        <f>O35*M35</f>
        <v>2100000</v>
      </c>
      <c r="Q35" s="1215">
        <v>6</v>
      </c>
      <c r="R35" s="1216" t="s">
        <v>52</v>
      </c>
      <c r="S35" s="1217">
        <v>350000</v>
      </c>
      <c r="T35" s="1237">
        <f>Q35*S35</f>
        <v>2100000</v>
      </c>
      <c r="U35" s="1195"/>
      <c r="V35" s="1196"/>
    </row>
    <row r="36" spans="2:22" ht="31.5" customHeight="1" x14ac:dyDescent="0.25">
      <c r="B36" s="486"/>
      <c r="C36" s="487"/>
      <c r="D36" s="487"/>
      <c r="E36" s="1932"/>
      <c r="F36" s="487"/>
      <c r="G36" s="489"/>
      <c r="H36" s="489"/>
      <c r="I36" s="489"/>
      <c r="J36" s="487"/>
      <c r="K36" s="487"/>
      <c r="L36" s="2047"/>
      <c r="M36" s="2048"/>
      <c r="N36" s="1326"/>
      <c r="O36" s="505"/>
      <c r="P36" s="551"/>
      <c r="Q36" s="2175"/>
      <c r="R36" s="1218"/>
      <c r="S36" s="1219"/>
      <c r="T36" s="1238"/>
      <c r="U36" s="1195"/>
      <c r="V36" s="1196"/>
    </row>
    <row r="37" spans="2:22" ht="20" customHeight="1" x14ac:dyDescent="0.25">
      <c r="B37" s="486">
        <v>1</v>
      </c>
      <c r="C37" s="487" t="s">
        <v>239</v>
      </c>
      <c r="D37" s="487" t="s">
        <v>84</v>
      </c>
      <c r="E37" s="1650">
        <v>15</v>
      </c>
      <c r="F37" s="1650" t="s">
        <v>86</v>
      </c>
      <c r="G37" s="473">
        <v>5</v>
      </c>
      <c r="H37" s="473">
        <v>2</v>
      </c>
      <c r="I37" s="489">
        <v>1</v>
      </c>
      <c r="J37" s="487" t="s">
        <v>84</v>
      </c>
      <c r="K37" s="487" t="s">
        <v>112</v>
      </c>
      <c r="L37" s="2047" t="s">
        <v>782</v>
      </c>
      <c r="M37" s="2048"/>
      <c r="N37" s="1326"/>
      <c r="O37" s="505"/>
      <c r="P37" s="551">
        <f>SUM(P38+P47)</f>
        <v>63000000</v>
      </c>
      <c r="Q37" s="1161"/>
      <c r="R37" s="1033"/>
      <c r="S37" s="1034"/>
      <c r="T37" s="1034"/>
      <c r="U37" s="1195"/>
      <c r="V37" s="1196"/>
    </row>
    <row r="38" spans="2:22" ht="20" customHeight="1" x14ac:dyDescent="0.25">
      <c r="B38" s="2049"/>
      <c r="C38" s="2050"/>
      <c r="D38" s="2050"/>
      <c r="E38" s="2051"/>
      <c r="F38" s="2050"/>
      <c r="G38" s="2052"/>
      <c r="H38" s="2052"/>
      <c r="I38" s="2052"/>
      <c r="J38" s="2050"/>
      <c r="K38" s="2050"/>
      <c r="L38" s="2051" t="s">
        <v>844</v>
      </c>
      <c r="M38" s="2053"/>
      <c r="N38" s="2054"/>
      <c r="O38" s="2055"/>
      <c r="P38" s="1709">
        <f>SUM(P39:P45)</f>
        <v>36000000</v>
      </c>
      <c r="Q38" s="1161"/>
      <c r="R38" s="1033"/>
      <c r="S38" s="1034"/>
      <c r="T38" s="1034"/>
      <c r="U38" s="1195"/>
      <c r="V38" s="1196"/>
    </row>
    <row r="39" spans="2:22" ht="20" customHeight="1" x14ac:dyDescent="0.25">
      <c r="B39" s="2056"/>
      <c r="C39" s="2057"/>
      <c r="D39" s="2057"/>
      <c r="E39" s="2058"/>
      <c r="F39" s="2057"/>
      <c r="G39" s="2059"/>
      <c r="H39" s="2059"/>
      <c r="I39" s="2059"/>
      <c r="J39" s="2057"/>
      <c r="K39" s="2057"/>
      <c r="L39" s="2060" t="s">
        <v>845</v>
      </c>
      <c r="M39" s="1161">
        <f>2*6</f>
        <v>12</v>
      </c>
      <c r="N39" s="2061" t="s">
        <v>82</v>
      </c>
      <c r="O39" s="2062">
        <v>500000</v>
      </c>
      <c r="P39" s="2162">
        <f t="shared" ref="P39:P45" si="1">SUM(O39*M39)</f>
        <v>6000000</v>
      </c>
      <c r="Q39" s="1161"/>
      <c r="R39" s="1033"/>
      <c r="S39" s="1034"/>
      <c r="T39" s="1034"/>
      <c r="U39" s="1195"/>
      <c r="V39" s="1196"/>
    </row>
    <row r="40" spans="2:22" ht="20" customHeight="1" x14ac:dyDescent="0.25">
      <c r="B40" s="2056"/>
      <c r="C40" s="2057"/>
      <c r="D40" s="2057"/>
      <c r="E40" s="2058"/>
      <c r="F40" s="2057"/>
      <c r="G40" s="2059"/>
      <c r="H40" s="2059"/>
      <c r="I40" s="2059"/>
      <c r="J40" s="2057"/>
      <c r="K40" s="2057"/>
      <c r="L40" s="2060" t="s">
        <v>846</v>
      </c>
      <c r="M40" s="1161">
        <v>6</v>
      </c>
      <c r="N40" s="2061" t="s">
        <v>82</v>
      </c>
      <c r="O40" s="2062">
        <v>450000</v>
      </c>
      <c r="P40" s="2162">
        <f t="shared" si="1"/>
        <v>2700000</v>
      </c>
      <c r="Q40" s="1161"/>
      <c r="R40" s="1033"/>
      <c r="S40" s="1034"/>
      <c r="T40" s="1034"/>
      <c r="U40" s="1195"/>
      <c r="V40" s="1196"/>
    </row>
    <row r="41" spans="2:22" ht="20" customHeight="1" x14ac:dyDescent="0.25">
      <c r="B41" s="2056"/>
      <c r="C41" s="2057"/>
      <c r="D41" s="2057"/>
      <c r="E41" s="2058"/>
      <c r="F41" s="2057"/>
      <c r="G41" s="2059"/>
      <c r="H41" s="2059"/>
      <c r="I41" s="2059"/>
      <c r="J41" s="2057"/>
      <c r="K41" s="2057"/>
      <c r="L41" s="2060" t="s">
        <v>847</v>
      </c>
      <c r="M41" s="1161">
        <f t="shared" ref="M41:M43" si="2">1*6</f>
        <v>6</v>
      </c>
      <c r="N41" s="2061" t="s">
        <v>82</v>
      </c>
      <c r="O41" s="2062">
        <v>400000</v>
      </c>
      <c r="P41" s="2162">
        <f t="shared" si="1"/>
        <v>2400000</v>
      </c>
      <c r="Q41" s="1161"/>
      <c r="R41" s="1033"/>
      <c r="S41" s="1034"/>
      <c r="T41" s="1034"/>
      <c r="U41" s="1195"/>
      <c r="V41" s="1196"/>
    </row>
    <row r="42" spans="2:22" ht="20" customHeight="1" x14ac:dyDescent="0.25">
      <c r="B42" s="2056"/>
      <c r="C42" s="2057"/>
      <c r="D42" s="2057"/>
      <c r="E42" s="2058"/>
      <c r="F42" s="2057"/>
      <c r="G42" s="2059"/>
      <c r="H42" s="2059"/>
      <c r="I42" s="2059"/>
      <c r="J42" s="2057"/>
      <c r="K42" s="2057"/>
      <c r="L42" s="2060" t="s">
        <v>848</v>
      </c>
      <c r="M42" s="1161">
        <f t="shared" si="2"/>
        <v>6</v>
      </c>
      <c r="N42" s="2061" t="s">
        <v>82</v>
      </c>
      <c r="O42" s="2062">
        <v>350000</v>
      </c>
      <c r="P42" s="2162">
        <f t="shared" si="1"/>
        <v>2100000</v>
      </c>
      <c r="Q42" s="1161"/>
      <c r="R42" s="1033"/>
      <c r="S42" s="1034"/>
      <c r="T42" s="1034"/>
      <c r="U42" s="1195"/>
      <c r="V42" s="1196"/>
    </row>
    <row r="43" spans="2:22" ht="19.5" customHeight="1" x14ac:dyDescent="0.25">
      <c r="B43" s="2056"/>
      <c r="C43" s="2057"/>
      <c r="D43" s="2057"/>
      <c r="E43" s="2058"/>
      <c r="F43" s="2057"/>
      <c r="G43" s="2059"/>
      <c r="H43" s="2059"/>
      <c r="I43" s="2059"/>
      <c r="J43" s="2057"/>
      <c r="K43" s="2057"/>
      <c r="L43" s="2060" t="s">
        <v>732</v>
      </c>
      <c r="M43" s="1161">
        <f t="shared" si="2"/>
        <v>6</v>
      </c>
      <c r="N43" s="2061" t="s">
        <v>82</v>
      </c>
      <c r="O43" s="2062">
        <v>300000</v>
      </c>
      <c r="P43" s="2162">
        <f t="shared" si="1"/>
        <v>1800000</v>
      </c>
      <c r="Q43" s="1161"/>
      <c r="R43" s="1033"/>
      <c r="S43" s="1034"/>
      <c r="T43" s="1034"/>
      <c r="U43" s="1195"/>
      <c r="V43" s="1196"/>
    </row>
    <row r="44" spans="2:22" ht="18" customHeight="1" x14ac:dyDescent="0.25">
      <c r="B44" s="2056"/>
      <c r="C44" s="2057"/>
      <c r="D44" s="2057"/>
      <c r="E44" s="2058"/>
      <c r="F44" s="2057"/>
      <c r="G44" s="2059"/>
      <c r="H44" s="2059"/>
      <c r="I44" s="2059"/>
      <c r="J44" s="2057"/>
      <c r="K44" s="2057"/>
      <c r="L44" s="2060" t="s">
        <v>849</v>
      </c>
      <c r="M44" s="1161">
        <f>2*6</f>
        <v>12</v>
      </c>
      <c r="N44" s="2061" t="s">
        <v>82</v>
      </c>
      <c r="O44" s="2062">
        <v>250000</v>
      </c>
      <c r="P44" s="2162">
        <f t="shared" si="1"/>
        <v>3000000</v>
      </c>
      <c r="Q44" s="2176"/>
      <c r="R44" s="1164"/>
      <c r="S44" s="1165"/>
      <c r="T44" s="1239"/>
      <c r="U44" s="1195"/>
      <c r="V44" s="1196"/>
    </row>
    <row r="45" spans="2:22" ht="18" customHeight="1" x14ac:dyDescent="0.25">
      <c r="B45" s="2056"/>
      <c r="C45" s="2057"/>
      <c r="D45" s="2057"/>
      <c r="E45" s="2058"/>
      <c r="F45" s="2057"/>
      <c r="G45" s="2059"/>
      <c r="H45" s="2059"/>
      <c r="I45" s="2059"/>
      <c r="J45" s="2057"/>
      <c r="K45" s="2057"/>
      <c r="L45" s="2063" t="s">
        <v>850</v>
      </c>
      <c r="M45" s="1161">
        <f>15*6</f>
        <v>90</v>
      </c>
      <c r="N45" s="1033" t="s">
        <v>82</v>
      </c>
      <c r="O45" s="1034">
        <v>200000</v>
      </c>
      <c r="P45" s="1162">
        <f t="shared" si="1"/>
        <v>18000000</v>
      </c>
      <c r="Q45" s="2175"/>
      <c r="R45" s="1218"/>
      <c r="S45" s="1219"/>
      <c r="T45" s="1238"/>
      <c r="U45" s="1195"/>
      <c r="V45" s="1196"/>
    </row>
    <row r="46" spans="2:22" ht="18" customHeight="1" x14ac:dyDescent="0.25">
      <c r="B46" s="2056"/>
      <c r="C46" s="2057"/>
      <c r="D46" s="2057"/>
      <c r="E46" s="2058"/>
      <c r="F46" s="2057"/>
      <c r="G46" s="2059"/>
      <c r="H46" s="2059"/>
      <c r="I46" s="2059"/>
      <c r="J46" s="2057"/>
      <c r="K46" s="2057"/>
      <c r="L46" s="2064"/>
      <c r="M46" s="1163"/>
      <c r="N46" s="1164"/>
      <c r="O46" s="1165"/>
      <c r="P46" s="1166"/>
      <c r="Q46" s="1161"/>
      <c r="R46" s="1033"/>
      <c r="S46" s="1034"/>
      <c r="T46" s="1034"/>
      <c r="U46" s="1195"/>
      <c r="V46" s="1196"/>
    </row>
    <row r="47" spans="2:22" ht="18" customHeight="1" x14ac:dyDescent="0.25">
      <c r="B47" s="2056"/>
      <c r="C47" s="2057"/>
      <c r="D47" s="2057"/>
      <c r="E47" s="2058"/>
      <c r="F47" s="2057"/>
      <c r="G47" s="2059"/>
      <c r="H47" s="2059"/>
      <c r="I47" s="2059"/>
      <c r="J47" s="2057"/>
      <c r="K47" s="2057"/>
      <c r="L47" s="2051" t="s">
        <v>851</v>
      </c>
      <c r="M47" s="2053"/>
      <c r="N47" s="2054"/>
      <c r="O47" s="2055"/>
      <c r="P47" s="1709">
        <f>SUM(P48:P54)</f>
        <v>27000000</v>
      </c>
      <c r="Q47" s="1161"/>
      <c r="R47" s="1033"/>
      <c r="S47" s="1034"/>
      <c r="T47" s="1034"/>
      <c r="U47" s="1195"/>
      <c r="V47" s="1196"/>
    </row>
    <row r="48" spans="2:22" ht="18" customHeight="1" x14ac:dyDescent="0.25">
      <c r="B48" s="2056"/>
      <c r="C48" s="2057"/>
      <c r="D48" s="2057"/>
      <c r="E48" s="2058"/>
      <c r="F48" s="2057"/>
      <c r="G48" s="2059"/>
      <c r="H48" s="2059"/>
      <c r="I48" s="2059"/>
      <c r="J48" s="2057"/>
      <c r="K48" s="2057"/>
      <c r="L48" s="2060" t="s">
        <v>852</v>
      </c>
      <c r="M48" s="1161">
        <f>2*6</f>
        <v>12</v>
      </c>
      <c r="N48" s="2061" t="s">
        <v>82</v>
      </c>
      <c r="O48" s="2062">
        <v>500000</v>
      </c>
      <c r="P48" s="2162">
        <f t="shared" ref="P48:P54" si="3">SUM(O48*M48)</f>
        <v>6000000</v>
      </c>
      <c r="Q48" s="1161"/>
      <c r="R48" s="1033"/>
      <c r="S48" s="1034"/>
      <c r="T48" s="1034"/>
      <c r="U48" s="1195"/>
      <c r="V48" s="1196"/>
    </row>
    <row r="49" spans="2:22" ht="18" customHeight="1" x14ac:dyDescent="0.25">
      <c r="B49" s="2056"/>
      <c r="C49" s="2057"/>
      <c r="D49" s="2057"/>
      <c r="E49" s="2058"/>
      <c r="F49" s="2057"/>
      <c r="G49" s="2059"/>
      <c r="H49" s="2059"/>
      <c r="I49" s="2059"/>
      <c r="J49" s="2057"/>
      <c r="K49" s="2057"/>
      <c r="L49" s="2060" t="s">
        <v>846</v>
      </c>
      <c r="M49" s="1161">
        <v>6</v>
      </c>
      <c r="N49" s="2061" t="s">
        <v>82</v>
      </c>
      <c r="O49" s="2062">
        <v>450000</v>
      </c>
      <c r="P49" s="2162">
        <f t="shared" si="3"/>
        <v>2700000</v>
      </c>
      <c r="Q49" s="1161"/>
      <c r="R49" s="1033"/>
      <c r="S49" s="1034"/>
      <c r="T49" s="1034"/>
      <c r="U49" s="1195"/>
      <c r="V49" s="1196"/>
    </row>
    <row r="50" spans="2:22" ht="18" customHeight="1" x14ac:dyDescent="0.25">
      <c r="B50" s="2056"/>
      <c r="C50" s="2057"/>
      <c r="D50" s="2057"/>
      <c r="E50" s="2058"/>
      <c r="F50" s="2057"/>
      <c r="G50" s="2059"/>
      <c r="H50" s="2059"/>
      <c r="I50" s="2059"/>
      <c r="J50" s="2057"/>
      <c r="K50" s="2057"/>
      <c r="L50" s="2060" t="s">
        <v>847</v>
      </c>
      <c r="M50" s="1161">
        <f t="shared" ref="M50:M52" si="4">1*6</f>
        <v>6</v>
      </c>
      <c r="N50" s="2061" t="s">
        <v>82</v>
      </c>
      <c r="O50" s="2062">
        <v>400000</v>
      </c>
      <c r="P50" s="2162">
        <f t="shared" si="3"/>
        <v>2400000</v>
      </c>
      <c r="Q50" s="1161"/>
      <c r="R50" s="1033"/>
      <c r="S50" s="1034"/>
      <c r="T50" s="1034"/>
      <c r="U50" s="1195"/>
      <c r="V50" s="1196"/>
    </row>
    <row r="51" spans="2:22" x14ac:dyDescent="0.25">
      <c r="B51" s="2056"/>
      <c r="C51" s="2057"/>
      <c r="D51" s="2057"/>
      <c r="E51" s="2058"/>
      <c r="F51" s="2057"/>
      <c r="G51" s="2059"/>
      <c r="H51" s="2059"/>
      <c r="I51" s="2059"/>
      <c r="J51" s="2057"/>
      <c r="K51" s="2057"/>
      <c r="L51" s="2060" t="s">
        <v>848</v>
      </c>
      <c r="M51" s="1161">
        <f t="shared" si="4"/>
        <v>6</v>
      </c>
      <c r="N51" s="2061" t="s">
        <v>82</v>
      </c>
      <c r="O51" s="2062">
        <v>350000</v>
      </c>
      <c r="P51" s="2162">
        <f t="shared" si="3"/>
        <v>2100000</v>
      </c>
      <c r="Q51" s="1161"/>
      <c r="R51" s="1033"/>
      <c r="S51" s="1034"/>
      <c r="T51" s="1034"/>
      <c r="U51" s="1195"/>
      <c r="V51" s="1196"/>
    </row>
    <row r="52" spans="2:22" x14ac:dyDescent="0.25">
      <c r="B52" s="2056"/>
      <c r="C52" s="2057"/>
      <c r="D52" s="2057"/>
      <c r="E52" s="2058"/>
      <c r="F52" s="2057"/>
      <c r="G52" s="2059"/>
      <c r="H52" s="2059"/>
      <c r="I52" s="2059"/>
      <c r="J52" s="2057"/>
      <c r="K52" s="2057"/>
      <c r="L52" s="2060" t="s">
        <v>732</v>
      </c>
      <c r="M52" s="1161">
        <f t="shared" si="4"/>
        <v>6</v>
      </c>
      <c r="N52" s="2061" t="s">
        <v>82</v>
      </c>
      <c r="O52" s="2062">
        <v>300000</v>
      </c>
      <c r="P52" s="2162">
        <f t="shared" si="3"/>
        <v>1800000</v>
      </c>
      <c r="Q52" s="1161"/>
      <c r="R52" s="1033"/>
      <c r="S52" s="1034"/>
      <c r="T52" s="1034"/>
      <c r="U52" s="1195"/>
      <c r="V52" s="1196"/>
    </row>
    <row r="53" spans="2:22" x14ac:dyDescent="0.25">
      <c r="B53" s="2056"/>
      <c r="C53" s="2057"/>
      <c r="D53" s="2057"/>
      <c r="E53" s="2058"/>
      <c r="F53" s="2057"/>
      <c r="G53" s="2059"/>
      <c r="H53" s="2059"/>
      <c r="I53" s="2059"/>
      <c r="J53" s="2057"/>
      <c r="K53" s="2057"/>
      <c r="L53" s="2060" t="s">
        <v>853</v>
      </c>
      <c r="M53" s="1161">
        <f>4*6</f>
        <v>24</v>
      </c>
      <c r="N53" s="2061" t="s">
        <v>82</v>
      </c>
      <c r="O53" s="2062">
        <v>250000</v>
      </c>
      <c r="P53" s="2162">
        <f t="shared" si="3"/>
        <v>6000000</v>
      </c>
      <c r="Q53" s="1009"/>
      <c r="R53" s="919"/>
      <c r="S53" s="1172"/>
      <c r="T53" s="1197"/>
      <c r="U53" s="1195"/>
      <c r="V53" s="1196"/>
    </row>
    <row r="54" spans="2:22" x14ac:dyDescent="0.25">
      <c r="B54" s="2056"/>
      <c r="C54" s="2057"/>
      <c r="D54" s="2057"/>
      <c r="E54" s="2058"/>
      <c r="F54" s="2057"/>
      <c r="G54" s="2059"/>
      <c r="H54" s="2059"/>
      <c r="I54" s="2059"/>
      <c r="J54" s="2057"/>
      <c r="K54" s="2057"/>
      <c r="L54" s="2063" t="s">
        <v>854</v>
      </c>
      <c r="M54" s="1161">
        <f>5*6</f>
        <v>30</v>
      </c>
      <c r="N54" s="1033" t="s">
        <v>82</v>
      </c>
      <c r="O54" s="1034">
        <v>200000</v>
      </c>
      <c r="P54" s="1162">
        <f t="shared" si="3"/>
        <v>6000000</v>
      </c>
      <c r="Q54" s="1009"/>
      <c r="R54" s="1259"/>
      <c r="S54" s="1259"/>
      <c r="T54" s="1261"/>
      <c r="U54" s="1195"/>
      <c r="V54" s="1196"/>
    </row>
    <row r="55" spans="2:22" x14ac:dyDescent="0.25">
      <c r="B55" s="2180"/>
      <c r="C55" s="2181"/>
      <c r="D55" s="2181"/>
      <c r="E55" s="2182"/>
      <c r="F55" s="2181"/>
      <c r="G55" s="2183"/>
      <c r="H55" s="2183"/>
      <c r="I55" s="2183"/>
      <c r="J55" s="2181"/>
      <c r="K55" s="2181"/>
      <c r="L55" s="2063"/>
      <c r="M55" s="1161"/>
      <c r="N55" s="1033"/>
      <c r="O55" s="1034"/>
      <c r="P55" s="1162"/>
      <c r="Q55" s="1009"/>
      <c r="R55" s="1259"/>
      <c r="S55" s="1259"/>
      <c r="T55" s="1261"/>
      <c r="U55" s="1195"/>
      <c r="V55" s="1196"/>
    </row>
    <row r="56" spans="2:22" x14ac:dyDescent="0.25">
      <c r="B56" s="864">
        <v>1</v>
      </c>
      <c r="C56" s="867" t="s">
        <v>239</v>
      </c>
      <c r="D56" s="867" t="s">
        <v>84</v>
      </c>
      <c r="E56" s="827">
        <v>15</v>
      </c>
      <c r="F56" s="798" t="s">
        <v>86</v>
      </c>
      <c r="G56" s="1257">
        <v>5</v>
      </c>
      <c r="H56" s="1257">
        <v>2</v>
      </c>
      <c r="I56" s="1257">
        <v>1</v>
      </c>
      <c r="J56" s="1256" t="s">
        <v>87</v>
      </c>
      <c r="K56" s="1256"/>
      <c r="L56" s="1258" t="s">
        <v>107</v>
      </c>
      <c r="M56" s="1009"/>
      <c r="N56" s="1259"/>
      <c r="O56" s="1259"/>
      <c r="P56" s="1260"/>
      <c r="Q56" s="1009"/>
      <c r="R56" s="1259"/>
      <c r="S56" s="1259"/>
      <c r="T56" s="1261">
        <f>T57</f>
        <v>6000000</v>
      </c>
      <c r="U56" s="1195">
        <f>SUM(T56)-P56</f>
        <v>6000000</v>
      </c>
      <c r="V56" s="1196">
        <f t="shared" ref="V56" si="5">U56/T56*100</f>
        <v>100</v>
      </c>
    </row>
    <row r="57" spans="2:22" x14ac:dyDescent="0.25">
      <c r="B57" s="864">
        <v>1</v>
      </c>
      <c r="C57" s="867" t="s">
        <v>239</v>
      </c>
      <c r="D57" s="867" t="s">
        <v>84</v>
      </c>
      <c r="E57" s="827">
        <v>15</v>
      </c>
      <c r="F57" s="798" t="s">
        <v>86</v>
      </c>
      <c r="G57" s="1257">
        <v>5</v>
      </c>
      <c r="H57" s="1257">
        <v>2</v>
      </c>
      <c r="I57" s="1257">
        <v>1</v>
      </c>
      <c r="J57" s="1256" t="s">
        <v>87</v>
      </c>
      <c r="K57" s="1256" t="s">
        <v>97</v>
      </c>
      <c r="L57" s="1262" t="s">
        <v>175</v>
      </c>
      <c r="M57" s="918"/>
      <c r="N57" s="919"/>
      <c r="O57" s="919"/>
      <c r="P57" s="921"/>
      <c r="Q57" s="918"/>
      <c r="R57" s="919"/>
      <c r="S57" s="919"/>
      <c r="T57" s="920">
        <f>T58</f>
        <v>6000000</v>
      </c>
      <c r="U57" s="1193"/>
      <c r="V57" s="1194"/>
    </row>
    <row r="58" spans="2:22" ht="25" x14ac:dyDescent="0.25">
      <c r="B58" s="1221"/>
      <c r="C58" s="1222"/>
      <c r="D58" s="1222"/>
      <c r="E58" s="1223"/>
      <c r="F58" s="1223"/>
      <c r="G58" s="1224"/>
      <c r="H58" s="1224"/>
      <c r="I58" s="1224"/>
      <c r="J58" s="1222"/>
      <c r="K58" s="1222"/>
      <c r="L58" s="1458" t="s">
        <v>855</v>
      </c>
      <c r="M58" s="1225"/>
      <c r="N58" s="1226"/>
      <c r="O58" s="1227"/>
      <c r="P58" s="1236"/>
      <c r="Q58" s="1459">
        <v>120</v>
      </c>
      <c r="R58" s="1460" t="s">
        <v>108</v>
      </c>
      <c r="S58" s="1461">
        <v>50000</v>
      </c>
      <c r="T58" s="1237">
        <f t="shared" ref="T58" si="6">Q58*S58</f>
        <v>6000000</v>
      </c>
      <c r="U58" s="1195">
        <f t="shared" ref="U58" si="7">SUM(T58)-P58</f>
        <v>6000000</v>
      </c>
      <c r="V58" s="1196">
        <f t="shared" ref="V58" si="8">U58/T58*100</f>
        <v>100</v>
      </c>
    </row>
    <row r="59" spans="2:22" x14ac:dyDescent="0.25">
      <c r="B59" s="2065"/>
      <c r="C59" s="2066"/>
      <c r="D59" s="2066"/>
      <c r="E59" s="2067"/>
      <c r="F59" s="2067"/>
      <c r="G59" s="2068"/>
      <c r="H59" s="2068"/>
      <c r="I59" s="2068"/>
      <c r="J59" s="2068"/>
      <c r="K59" s="2068"/>
      <c r="L59" s="2069"/>
      <c r="M59" s="1009"/>
      <c r="N59" s="2070"/>
      <c r="O59" s="2071"/>
      <c r="P59" s="2163"/>
      <c r="Q59" s="918"/>
      <c r="R59" s="919"/>
      <c r="S59" s="919"/>
      <c r="T59" s="920"/>
      <c r="U59" s="1193"/>
      <c r="V59" s="1194"/>
    </row>
    <row r="60" spans="2:22" x14ac:dyDescent="0.25">
      <c r="B60" s="2072">
        <v>1</v>
      </c>
      <c r="C60" s="2073" t="s">
        <v>239</v>
      </c>
      <c r="D60" s="2073" t="s">
        <v>84</v>
      </c>
      <c r="E60" s="1716">
        <v>15</v>
      </c>
      <c r="F60" s="1732" t="s">
        <v>86</v>
      </c>
      <c r="G60" s="2068">
        <v>5</v>
      </c>
      <c r="H60" s="2068">
        <v>2</v>
      </c>
      <c r="I60" s="2068">
        <v>1</v>
      </c>
      <c r="J60" s="2066" t="s">
        <v>87</v>
      </c>
      <c r="K60" s="2066"/>
      <c r="L60" s="2074" t="s">
        <v>107</v>
      </c>
      <c r="M60" s="1009"/>
      <c r="N60" s="2075"/>
      <c r="O60" s="2075"/>
      <c r="P60" s="2164">
        <f>P61</f>
        <v>2000000</v>
      </c>
      <c r="Q60" s="2177"/>
      <c r="R60" s="1460"/>
      <c r="S60" s="1461"/>
      <c r="T60" s="1237"/>
      <c r="U60" s="1195"/>
      <c r="V60" s="1196"/>
    </row>
    <row r="61" spans="2:22" x14ac:dyDescent="0.25">
      <c r="B61" s="2072">
        <v>1</v>
      </c>
      <c r="C61" s="2073" t="s">
        <v>239</v>
      </c>
      <c r="D61" s="2073" t="s">
        <v>84</v>
      </c>
      <c r="E61" s="1716">
        <v>15</v>
      </c>
      <c r="F61" s="1732" t="s">
        <v>86</v>
      </c>
      <c r="G61" s="2068">
        <v>5</v>
      </c>
      <c r="H61" s="2068">
        <v>2</v>
      </c>
      <c r="I61" s="2068">
        <v>1</v>
      </c>
      <c r="J61" s="2066" t="s">
        <v>87</v>
      </c>
      <c r="K61" s="2066" t="s">
        <v>97</v>
      </c>
      <c r="L61" s="2076" t="s">
        <v>175</v>
      </c>
      <c r="M61" s="1041"/>
      <c r="N61" s="2070"/>
      <c r="O61" s="2070"/>
      <c r="P61" s="2165">
        <f>SUM(P62:P65)</f>
        <v>2000000</v>
      </c>
      <c r="Q61" s="1217"/>
      <c r="R61" s="1216"/>
      <c r="S61" s="1217"/>
      <c r="T61" s="1237"/>
      <c r="U61" s="1195"/>
      <c r="V61" s="1196"/>
    </row>
    <row r="62" spans="2:22" x14ac:dyDescent="0.25">
      <c r="B62" s="2065"/>
      <c r="C62" s="2066"/>
      <c r="D62" s="2066"/>
      <c r="E62" s="2067"/>
      <c r="F62" s="2066"/>
      <c r="G62" s="2068"/>
      <c r="H62" s="2068"/>
      <c r="I62" s="2068"/>
      <c r="J62" s="2066"/>
      <c r="K62" s="2066"/>
      <c r="L62" s="2077" t="s">
        <v>1097</v>
      </c>
      <c r="M62" s="1041">
        <v>2</v>
      </c>
      <c r="N62" s="2070" t="s">
        <v>108</v>
      </c>
      <c r="O62" s="2078">
        <v>300000</v>
      </c>
      <c r="P62" s="2165">
        <f>O62*M62</f>
        <v>600000</v>
      </c>
      <c r="Q62" s="1217"/>
      <c r="R62" s="1216"/>
      <c r="S62" s="1217"/>
      <c r="T62" s="1229"/>
      <c r="U62" s="2040"/>
      <c r="V62" s="1196"/>
    </row>
    <row r="63" spans="2:22" x14ac:dyDescent="0.25">
      <c r="B63" s="2065"/>
      <c r="C63" s="2066"/>
      <c r="D63" s="2066"/>
      <c r="E63" s="2067"/>
      <c r="F63" s="2066"/>
      <c r="G63" s="2068"/>
      <c r="H63" s="2068"/>
      <c r="I63" s="2068"/>
      <c r="J63" s="2066"/>
      <c r="K63" s="2066"/>
      <c r="L63" s="2077" t="s">
        <v>1098</v>
      </c>
      <c r="M63" s="1041">
        <v>2</v>
      </c>
      <c r="N63" s="2070" t="s">
        <v>108</v>
      </c>
      <c r="O63" s="2078">
        <v>300000</v>
      </c>
      <c r="P63" s="2165">
        <f>O63*M63</f>
        <v>600000</v>
      </c>
      <c r="Q63" s="789"/>
      <c r="R63" s="745"/>
      <c r="S63" s="789"/>
      <c r="T63" s="1249"/>
      <c r="U63" s="2040"/>
      <c r="V63" s="1196"/>
    </row>
    <row r="64" spans="2:22" x14ac:dyDescent="0.25">
      <c r="B64" s="2065"/>
      <c r="C64" s="2066"/>
      <c r="D64" s="2066"/>
      <c r="E64" s="2067"/>
      <c r="F64" s="2067"/>
      <c r="G64" s="2068"/>
      <c r="H64" s="2068"/>
      <c r="I64" s="2068"/>
      <c r="J64" s="2066"/>
      <c r="K64" s="2068"/>
      <c r="L64" s="2079" t="s">
        <v>1099</v>
      </c>
      <c r="M64" s="1041">
        <v>2</v>
      </c>
      <c r="N64" s="2070" t="s">
        <v>108</v>
      </c>
      <c r="O64" s="2078">
        <v>300000</v>
      </c>
      <c r="P64" s="2165">
        <f>O64*M64</f>
        <v>600000</v>
      </c>
      <c r="Q64" s="789"/>
      <c r="R64" s="745"/>
      <c r="S64" s="789"/>
      <c r="T64" s="2490"/>
      <c r="U64" s="2040"/>
      <c r="V64" s="1196"/>
    </row>
    <row r="65" spans="2:22" ht="14.5" customHeight="1" x14ac:dyDescent="0.25">
      <c r="B65" s="2065"/>
      <c r="C65" s="2066"/>
      <c r="D65" s="2066"/>
      <c r="E65" s="2067"/>
      <c r="F65" s="2067"/>
      <c r="G65" s="2068"/>
      <c r="H65" s="2068"/>
      <c r="I65" s="2068"/>
      <c r="J65" s="2066"/>
      <c r="K65" s="2066"/>
      <c r="L65" s="2077" t="s">
        <v>1100</v>
      </c>
      <c r="M65" s="1041">
        <v>2</v>
      </c>
      <c r="N65" s="2070" t="s">
        <v>108</v>
      </c>
      <c r="O65" s="2078">
        <v>100000</v>
      </c>
      <c r="P65" s="2165">
        <f>O65*M65</f>
        <v>200000</v>
      </c>
      <c r="Q65" s="1215"/>
      <c r="R65" s="745"/>
      <c r="S65" s="746"/>
      <c r="T65" s="1230"/>
      <c r="U65" s="2040"/>
      <c r="V65" s="1196"/>
    </row>
    <row r="66" spans="2:22" x14ac:dyDescent="0.25">
      <c r="B66" s="486"/>
      <c r="C66" s="487"/>
      <c r="D66" s="487"/>
      <c r="E66" s="1932"/>
      <c r="F66" s="487"/>
      <c r="G66" s="489"/>
      <c r="H66" s="489"/>
      <c r="I66" s="489"/>
      <c r="J66" s="487"/>
      <c r="K66" s="487"/>
      <c r="L66" s="2080"/>
      <c r="M66" s="2045"/>
      <c r="N66" s="1326"/>
      <c r="O66" s="505"/>
      <c r="P66" s="551"/>
      <c r="Q66" s="1215"/>
      <c r="R66" s="745"/>
      <c r="S66" s="1264"/>
      <c r="T66" s="1230"/>
      <c r="U66" s="2040"/>
      <c r="V66" s="1194"/>
    </row>
    <row r="67" spans="2:22" x14ac:dyDescent="0.25">
      <c r="B67" s="486">
        <v>1</v>
      </c>
      <c r="C67" s="487" t="s">
        <v>239</v>
      </c>
      <c r="D67" s="487" t="s">
        <v>84</v>
      </c>
      <c r="E67" s="1650">
        <v>15</v>
      </c>
      <c r="F67" s="1650" t="s">
        <v>86</v>
      </c>
      <c r="G67" s="473">
        <v>5</v>
      </c>
      <c r="H67" s="473">
        <v>2</v>
      </c>
      <c r="I67" s="489">
        <v>2</v>
      </c>
      <c r="J67" s="487"/>
      <c r="K67" s="487"/>
      <c r="L67" s="494" t="s">
        <v>64</v>
      </c>
      <c r="M67" s="2045"/>
      <c r="N67" s="1326"/>
      <c r="O67" s="505"/>
      <c r="P67" s="2031">
        <f>P68+P74+P92+P97+P101+P112+P108</f>
        <v>594259350</v>
      </c>
      <c r="Q67" s="1217"/>
      <c r="R67" s="1216"/>
      <c r="S67" s="1217"/>
      <c r="T67" s="1229">
        <f>SUM(T68+T74+T97+T101+T108)</f>
        <v>462608100</v>
      </c>
      <c r="U67" s="2040"/>
      <c r="V67" s="1196"/>
    </row>
    <row r="68" spans="2:22" ht="16.5" customHeight="1" x14ac:dyDescent="0.25">
      <c r="B68" s="486">
        <v>1</v>
      </c>
      <c r="C68" s="487" t="s">
        <v>239</v>
      </c>
      <c r="D68" s="487" t="s">
        <v>84</v>
      </c>
      <c r="E68" s="1650">
        <v>15</v>
      </c>
      <c r="F68" s="1650" t="s">
        <v>86</v>
      </c>
      <c r="G68" s="473">
        <v>5</v>
      </c>
      <c r="H68" s="473">
        <v>2</v>
      </c>
      <c r="I68" s="489">
        <v>2</v>
      </c>
      <c r="J68" s="487" t="s">
        <v>84</v>
      </c>
      <c r="K68" s="489"/>
      <c r="L68" s="1675" t="s">
        <v>55</v>
      </c>
      <c r="M68" s="499"/>
      <c r="N68" s="499"/>
      <c r="O68" s="500"/>
      <c r="P68" s="547">
        <f>P69</f>
        <v>500000</v>
      </c>
      <c r="Q68" s="789"/>
      <c r="R68" s="745"/>
      <c r="S68" s="789"/>
      <c r="T68" s="788">
        <f>T69</f>
        <v>350000</v>
      </c>
      <c r="U68" s="1195"/>
      <c r="V68" s="1196"/>
    </row>
    <row r="69" spans="2:22" x14ac:dyDescent="0.25">
      <c r="B69" s="486">
        <v>1</v>
      </c>
      <c r="C69" s="487" t="s">
        <v>239</v>
      </c>
      <c r="D69" s="487" t="s">
        <v>84</v>
      </c>
      <c r="E69" s="1650">
        <v>15</v>
      </c>
      <c r="F69" s="1650" t="s">
        <v>86</v>
      </c>
      <c r="G69" s="473">
        <v>5</v>
      </c>
      <c r="H69" s="473">
        <v>2</v>
      </c>
      <c r="I69" s="489">
        <v>2</v>
      </c>
      <c r="J69" s="487" t="s">
        <v>84</v>
      </c>
      <c r="K69" s="487" t="s">
        <v>84</v>
      </c>
      <c r="L69" s="501" t="s">
        <v>91</v>
      </c>
      <c r="M69" s="499"/>
      <c r="N69" s="499"/>
      <c r="O69" s="500"/>
      <c r="P69" s="548">
        <f>SUM(P70:P72)</f>
        <v>500000</v>
      </c>
      <c r="Q69" s="789"/>
      <c r="R69" s="745"/>
      <c r="S69" s="789"/>
      <c r="T69" s="1250">
        <f>SUM(T70:T71)</f>
        <v>350000</v>
      </c>
      <c r="U69" s="1195">
        <f t="shared" ref="U69:U70" si="9">SUM(T69)-P69</f>
        <v>-150000</v>
      </c>
      <c r="V69" s="1196">
        <f t="shared" ref="V69:V70" si="10">U69/T69*100</f>
        <v>-42.857142857142854</v>
      </c>
    </row>
    <row r="70" spans="2:22" x14ac:dyDescent="0.25">
      <c r="B70" s="486"/>
      <c r="C70" s="487"/>
      <c r="D70" s="487"/>
      <c r="E70" s="1650"/>
      <c r="F70" s="487"/>
      <c r="G70" s="473"/>
      <c r="H70" s="473"/>
      <c r="I70" s="489"/>
      <c r="J70" s="487"/>
      <c r="K70" s="487"/>
      <c r="L70" s="502" t="s">
        <v>455</v>
      </c>
      <c r="M70" s="2081">
        <v>4</v>
      </c>
      <c r="N70" s="499" t="s">
        <v>461</v>
      </c>
      <c r="O70" s="477">
        <v>43750</v>
      </c>
      <c r="P70" s="548">
        <f>M70*O70</f>
        <v>175000</v>
      </c>
      <c r="Q70" s="1215">
        <v>4</v>
      </c>
      <c r="R70" s="745" t="s">
        <v>461</v>
      </c>
      <c r="S70" s="746">
        <v>65000</v>
      </c>
      <c r="T70" s="1237">
        <f t="shared" ref="T70:T71" si="11">Q70*S70</f>
        <v>260000</v>
      </c>
      <c r="U70" s="1195">
        <f t="shared" si="9"/>
        <v>85000</v>
      </c>
      <c r="V70" s="1196">
        <f t="shared" si="10"/>
        <v>32.692307692307693</v>
      </c>
    </row>
    <row r="71" spans="2:22" x14ac:dyDescent="0.25">
      <c r="B71" s="486"/>
      <c r="C71" s="487"/>
      <c r="D71" s="487"/>
      <c r="E71" s="1650"/>
      <c r="F71" s="487"/>
      <c r="G71" s="473"/>
      <c r="H71" s="473"/>
      <c r="I71" s="489"/>
      <c r="J71" s="487"/>
      <c r="K71" s="487"/>
      <c r="L71" s="502" t="s">
        <v>1101</v>
      </c>
      <c r="M71" s="2081">
        <v>2</v>
      </c>
      <c r="N71" s="499" t="s">
        <v>61</v>
      </c>
      <c r="O71" s="477">
        <v>125000</v>
      </c>
      <c r="P71" s="548">
        <f>M71*O71</f>
        <v>250000</v>
      </c>
      <c r="Q71" s="1215">
        <v>3</v>
      </c>
      <c r="R71" s="745" t="s">
        <v>462</v>
      </c>
      <c r="S71" s="1264">
        <v>30000</v>
      </c>
      <c r="T71" s="1237">
        <f t="shared" si="11"/>
        <v>90000</v>
      </c>
      <c r="U71" s="1195"/>
      <c r="V71" s="1194"/>
    </row>
    <row r="72" spans="2:22" x14ac:dyDescent="0.25">
      <c r="B72" s="486"/>
      <c r="C72" s="487"/>
      <c r="D72" s="487"/>
      <c r="E72" s="1650"/>
      <c r="F72" s="487"/>
      <c r="G72" s="473"/>
      <c r="H72" s="473"/>
      <c r="I72" s="489"/>
      <c r="J72" s="487"/>
      <c r="K72" s="487"/>
      <c r="L72" s="502" t="s">
        <v>856</v>
      </c>
      <c r="M72" s="2081">
        <v>3</v>
      </c>
      <c r="N72" s="499" t="s">
        <v>462</v>
      </c>
      <c r="O72" s="477">
        <v>25000</v>
      </c>
      <c r="P72" s="548">
        <f>M72*O72</f>
        <v>75000</v>
      </c>
      <c r="Q72" s="608"/>
      <c r="R72" s="745"/>
      <c r="S72" s="746"/>
      <c r="T72" s="1250"/>
      <c r="U72" s="1195"/>
      <c r="V72" s="1196"/>
    </row>
    <row r="73" spans="2:22" x14ac:dyDescent="0.25">
      <c r="B73" s="486"/>
      <c r="C73" s="487"/>
      <c r="D73" s="487"/>
      <c r="E73" s="1650"/>
      <c r="F73" s="487"/>
      <c r="G73" s="473"/>
      <c r="H73" s="473"/>
      <c r="I73" s="489"/>
      <c r="J73" s="487"/>
      <c r="K73" s="487"/>
      <c r="L73" s="502"/>
      <c r="M73" s="591"/>
      <c r="N73" s="499"/>
      <c r="O73" s="477"/>
      <c r="P73" s="548"/>
      <c r="Q73" s="1217"/>
      <c r="R73" s="1216"/>
      <c r="S73" s="1217"/>
      <c r="T73" s="1240"/>
      <c r="U73" s="1195"/>
      <c r="V73" s="1194"/>
    </row>
    <row r="74" spans="2:22" x14ac:dyDescent="0.25">
      <c r="B74" s="486">
        <v>1</v>
      </c>
      <c r="C74" s="487" t="s">
        <v>239</v>
      </c>
      <c r="D74" s="487" t="s">
        <v>84</v>
      </c>
      <c r="E74" s="1650">
        <v>15</v>
      </c>
      <c r="F74" s="1650" t="s">
        <v>86</v>
      </c>
      <c r="G74" s="473">
        <v>5</v>
      </c>
      <c r="H74" s="473">
        <v>2</v>
      </c>
      <c r="I74" s="489">
        <v>2</v>
      </c>
      <c r="J74" s="487" t="s">
        <v>97</v>
      </c>
      <c r="K74" s="487"/>
      <c r="L74" s="1675" t="s">
        <v>57</v>
      </c>
      <c r="M74" s="2045"/>
      <c r="N74" s="1326"/>
      <c r="O74" s="505"/>
      <c r="P74" s="2031">
        <f>P80+P89+P75</f>
        <v>360759350</v>
      </c>
      <c r="Q74" s="1217"/>
      <c r="R74" s="1216"/>
      <c r="S74" s="1217"/>
      <c r="T74" s="1240">
        <f>SUM(T75+T80)</f>
        <v>263265600</v>
      </c>
      <c r="U74" s="1195">
        <f>SUM(T74)-P74</f>
        <v>-97493750</v>
      </c>
      <c r="V74" s="1194"/>
    </row>
    <row r="75" spans="2:22" x14ac:dyDescent="0.25">
      <c r="B75" s="2072">
        <v>1</v>
      </c>
      <c r="C75" s="2073" t="s">
        <v>239</v>
      </c>
      <c r="D75" s="2073" t="s">
        <v>84</v>
      </c>
      <c r="E75" s="2082">
        <v>15</v>
      </c>
      <c r="F75" s="2082" t="s">
        <v>86</v>
      </c>
      <c r="G75" s="2083">
        <v>5</v>
      </c>
      <c r="H75" s="2083">
        <v>2</v>
      </c>
      <c r="I75" s="2084">
        <v>2</v>
      </c>
      <c r="J75" s="2073" t="s">
        <v>97</v>
      </c>
      <c r="K75" s="2073" t="s">
        <v>86</v>
      </c>
      <c r="L75" s="2085" t="s">
        <v>649</v>
      </c>
      <c r="M75" s="2086"/>
      <c r="N75" s="2087"/>
      <c r="O75" s="2088"/>
      <c r="P75" s="2166">
        <f>SUM(P76:P78)</f>
        <v>264415600</v>
      </c>
      <c r="Q75" s="1265"/>
      <c r="R75" s="1173"/>
      <c r="S75" s="1168"/>
      <c r="T75" s="916">
        <f>SUM(T76:T76)</f>
        <v>241665600</v>
      </c>
      <c r="U75" s="1195"/>
      <c r="V75" s="1194"/>
    </row>
    <row r="76" spans="2:22" x14ac:dyDescent="0.25">
      <c r="B76" s="2072"/>
      <c r="C76" s="2073"/>
      <c r="D76" s="2073"/>
      <c r="E76" s="2082"/>
      <c r="F76" s="2073"/>
      <c r="G76" s="2083"/>
      <c r="H76" s="2083"/>
      <c r="I76" s="2084"/>
      <c r="J76" s="2073"/>
      <c r="K76" s="2073"/>
      <c r="L76" s="2089" t="s">
        <v>857</v>
      </c>
      <c r="M76" s="2090">
        <v>1</v>
      </c>
      <c r="N76" s="2091" t="s">
        <v>2</v>
      </c>
      <c r="O76" s="2088">
        <v>241665600</v>
      </c>
      <c r="P76" s="2166">
        <f>O76*M76</f>
        <v>241665600</v>
      </c>
      <c r="Q76" s="1228">
        <v>1</v>
      </c>
      <c r="R76" s="1174" t="s">
        <v>2</v>
      </c>
      <c r="S76" s="1168">
        <v>241665600</v>
      </c>
      <c r="T76" s="1237">
        <f t="shared" ref="T76" si="12">Q76*S76</f>
        <v>241665600</v>
      </c>
      <c r="U76" s="1195"/>
      <c r="V76" s="1196">
        <v>0</v>
      </c>
    </row>
    <row r="77" spans="2:22" x14ac:dyDescent="0.25">
      <c r="B77" s="2072"/>
      <c r="C77" s="2073"/>
      <c r="D77" s="2073"/>
      <c r="E77" s="2082"/>
      <c r="F77" s="2073"/>
      <c r="G77" s="2083"/>
      <c r="H77" s="2083"/>
      <c r="I77" s="2084"/>
      <c r="J77" s="2073"/>
      <c r="K77" s="2073"/>
      <c r="L77" s="2082" t="s">
        <v>1102</v>
      </c>
      <c r="M77" s="2092">
        <v>1</v>
      </c>
      <c r="N77" s="1167" t="s">
        <v>2</v>
      </c>
      <c r="O77" s="1168">
        <v>1500000</v>
      </c>
      <c r="P77" s="1169">
        <f>O77*M77</f>
        <v>1500000</v>
      </c>
      <c r="Q77" s="1217"/>
      <c r="R77" s="1216"/>
      <c r="S77" s="1217"/>
      <c r="T77" s="1240"/>
      <c r="U77" s="1195"/>
      <c r="V77" s="1196"/>
    </row>
    <row r="78" spans="2:22" x14ac:dyDescent="0.25">
      <c r="B78" s="2072"/>
      <c r="C78" s="2073"/>
      <c r="D78" s="2073"/>
      <c r="E78" s="2082"/>
      <c r="F78" s="2073"/>
      <c r="G78" s="2083"/>
      <c r="H78" s="2083"/>
      <c r="I78" s="2084"/>
      <c r="J78" s="2073"/>
      <c r="K78" s="2073"/>
      <c r="L78" s="2093" t="s">
        <v>1103</v>
      </c>
      <c r="M78" s="2094">
        <v>1</v>
      </c>
      <c r="N78" s="2095" t="s">
        <v>716</v>
      </c>
      <c r="O78" s="2096">
        <v>21250000</v>
      </c>
      <c r="P78" s="2167">
        <f t="shared" ref="P78" si="13">O78*M78</f>
        <v>21250000</v>
      </c>
      <c r="Q78" s="1266"/>
      <c r="R78" s="993"/>
      <c r="S78" s="994"/>
      <c r="T78" s="1237"/>
      <c r="U78" s="1195"/>
      <c r="V78" s="1196"/>
    </row>
    <row r="79" spans="2:22" x14ac:dyDescent="0.25">
      <c r="B79" s="486"/>
      <c r="C79" s="487"/>
      <c r="D79" s="487"/>
      <c r="E79" s="1650"/>
      <c r="F79" s="1650"/>
      <c r="G79" s="473"/>
      <c r="H79" s="473"/>
      <c r="I79" s="489"/>
      <c r="J79" s="487"/>
      <c r="K79" s="487"/>
      <c r="L79" s="1675"/>
      <c r="M79" s="2045"/>
      <c r="N79" s="1326"/>
      <c r="O79" s="505"/>
      <c r="P79" s="2031"/>
      <c r="Q79" s="1228"/>
      <c r="R79" s="1174"/>
      <c r="S79" s="1168"/>
      <c r="T79" s="1237"/>
      <c r="U79" s="1195"/>
      <c r="V79" s="1196"/>
    </row>
    <row r="80" spans="2:22" x14ac:dyDescent="0.25">
      <c r="B80" s="486">
        <v>1</v>
      </c>
      <c r="C80" s="487" t="s">
        <v>239</v>
      </c>
      <c r="D80" s="487" t="s">
        <v>84</v>
      </c>
      <c r="E80" s="1650">
        <v>15</v>
      </c>
      <c r="F80" s="1650" t="s">
        <v>86</v>
      </c>
      <c r="G80" s="473">
        <v>5</v>
      </c>
      <c r="H80" s="473">
        <v>2</v>
      </c>
      <c r="I80" s="489">
        <v>2</v>
      </c>
      <c r="J80" s="487" t="s">
        <v>97</v>
      </c>
      <c r="K80" s="487">
        <v>21</v>
      </c>
      <c r="L80" s="2097" t="s">
        <v>418</v>
      </c>
      <c r="M80" s="2098"/>
      <c r="N80" s="2099"/>
      <c r="O80" s="2100"/>
      <c r="P80" s="551">
        <f>SUM(P81:P87)</f>
        <v>92743750</v>
      </c>
      <c r="Q80" s="1266"/>
      <c r="R80" s="993"/>
      <c r="S80" s="994"/>
      <c r="T80" s="1237">
        <f>SUM(T81:T83)</f>
        <v>21600000</v>
      </c>
      <c r="U80" s="1195"/>
      <c r="V80" s="1196"/>
    </row>
    <row r="81" spans="2:22" x14ac:dyDescent="0.25">
      <c r="B81" s="486"/>
      <c r="C81" s="487"/>
      <c r="D81" s="487"/>
      <c r="E81" s="1650"/>
      <c r="F81" s="487"/>
      <c r="G81" s="473"/>
      <c r="H81" s="473"/>
      <c r="I81" s="489"/>
      <c r="J81" s="487"/>
      <c r="K81" s="487"/>
      <c r="L81" s="2089" t="s">
        <v>858</v>
      </c>
      <c r="M81" s="2090">
        <v>2</v>
      </c>
      <c r="N81" s="2091" t="s">
        <v>463</v>
      </c>
      <c r="O81" s="2088">
        <v>8000000</v>
      </c>
      <c r="P81" s="2166">
        <f>O81*M81</f>
        <v>16000000</v>
      </c>
      <c r="Q81" s="1228">
        <v>1</v>
      </c>
      <c r="R81" s="1174" t="s">
        <v>463</v>
      </c>
      <c r="S81" s="1168">
        <v>9600000</v>
      </c>
      <c r="T81" s="1237">
        <f t="shared" ref="T81:T83" si="14">Q81*S81</f>
        <v>9600000</v>
      </c>
      <c r="U81" s="1195"/>
      <c r="V81" s="1196">
        <v>0</v>
      </c>
    </row>
    <row r="82" spans="2:22" x14ac:dyDescent="0.25">
      <c r="B82" s="486"/>
      <c r="C82" s="487"/>
      <c r="D82" s="487"/>
      <c r="E82" s="1650"/>
      <c r="F82" s="487"/>
      <c r="G82" s="473"/>
      <c r="H82" s="473"/>
      <c r="I82" s="489"/>
      <c r="J82" s="487"/>
      <c r="K82" s="487"/>
      <c r="L82" s="2089" t="s">
        <v>456</v>
      </c>
      <c r="M82" s="2090">
        <v>1</v>
      </c>
      <c r="N82" s="2101" t="s">
        <v>61</v>
      </c>
      <c r="O82" s="2088">
        <v>7000000</v>
      </c>
      <c r="P82" s="2166">
        <f>O82*M82</f>
        <v>7000000</v>
      </c>
      <c r="Q82" s="1228">
        <v>1</v>
      </c>
      <c r="R82" s="1167" t="s">
        <v>61</v>
      </c>
      <c r="S82" s="1168">
        <v>7000000</v>
      </c>
      <c r="T82" s="1237">
        <f t="shared" si="14"/>
        <v>7000000</v>
      </c>
      <c r="U82" s="1195"/>
      <c r="V82" s="1196"/>
    </row>
    <row r="83" spans="2:22" ht="25" x14ac:dyDescent="0.25">
      <c r="B83" s="486"/>
      <c r="C83" s="487"/>
      <c r="D83" s="487"/>
      <c r="E83" s="1650"/>
      <c r="F83" s="487"/>
      <c r="G83" s="473"/>
      <c r="H83" s="473"/>
      <c r="I83" s="489"/>
      <c r="J83" s="487"/>
      <c r="K83" s="487"/>
      <c r="L83" s="2082" t="s">
        <v>859</v>
      </c>
      <c r="M83" s="2092">
        <v>5</v>
      </c>
      <c r="N83" s="1167" t="s">
        <v>61</v>
      </c>
      <c r="O83" s="1168">
        <v>1000000</v>
      </c>
      <c r="P83" s="1169">
        <f>O83*M83</f>
        <v>5000000</v>
      </c>
      <c r="Q83" s="1228">
        <v>5</v>
      </c>
      <c r="R83" s="1167" t="s">
        <v>61</v>
      </c>
      <c r="S83" s="1168">
        <v>1000000</v>
      </c>
      <c r="T83" s="1237">
        <f t="shared" si="14"/>
        <v>5000000</v>
      </c>
      <c r="U83" s="1195">
        <f>SUM(T83)-P83</f>
        <v>0</v>
      </c>
      <c r="V83" s="1196">
        <f t="shared" ref="V83" si="15">U83/T83*100</f>
        <v>0</v>
      </c>
    </row>
    <row r="84" spans="2:22" x14ac:dyDescent="0.25">
      <c r="B84" s="486"/>
      <c r="C84" s="487"/>
      <c r="D84" s="487"/>
      <c r="E84" s="1650"/>
      <c r="F84" s="487"/>
      <c r="G84" s="473"/>
      <c r="H84" s="473"/>
      <c r="I84" s="489"/>
      <c r="J84" s="487"/>
      <c r="K84" s="487"/>
      <c r="L84" s="2089" t="s">
        <v>1104</v>
      </c>
      <c r="M84" s="2092">
        <v>1</v>
      </c>
      <c r="N84" s="1167" t="s">
        <v>61</v>
      </c>
      <c r="O84" s="1168">
        <v>25150000</v>
      </c>
      <c r="P84" s="1169">
        <f t="shared" ref="P84:P87" si="16">O84*M84</f>
        <v>25150000</v>
      </c>
      <c r="Q84" s="2178"/>
      <c r="R84" s="996"/>
      <c r="S84" s="995"/>
      <c r="T84" s="1237"/>
      <c r="U84" s="1195"/>
      <c r="V84" s="1196"/>
    </row>
    <row r="85" spans="2:22" x14ac:dyDescent="0.25">
      <c r="B85" s="486"/>
      <c r="C85" s="487"/>
      <c r="D85" s="487"/>
      <c r="E85" s="1650"/>
      <c r="F85" s="487"/>
      <c r="G85" s="473"/>
      <c r="H85" s="473"/>
      <c r="I85" s="489"/>
      <c r="J85" s="487"/>
      <c r="K85" s="487"/>
      <c r="L85" s="2089" t="s">
        <v>1105</v>
      </c>
      <c r="M85" s="2092">
        <v>5</v>
      </c>
      <c r="N85" s="1167" t="s">
        <v>61</v>
      </c>
      <c r="O85" s="1168">
        <f>2750000*25%+2750000</f>
        <v>3437500</v>
      </c>
      <c r="P85" s="1169">
        <f t="shared" si="16"/>
        <v>17187500</v>
      </c>
      <c r="Q85" s="2178"/>
      <c r="R85" s="996"/>
      <c r="S85" s="995"/>
      <c r="T85" s="1240"/>
      <c r="U85" s="1195"/>
      <c r="V85" s="1196"/>
    </row>
    <row r="86" spans="2:22" ht="25" x14ac:dyDescent="0.25">
      <c r="B86" s="486"/>
      <c r="C86" s="487"/>
      <c r="D86" s="487"/>
      <c r="E86" s="1650"/>
      <c r="F86" s="487"/>
      <c r="G86" s="473"/>
      <c r="H86" s="473"/>
      <c r="I86" s="489"/>
      <c r="J86" s="487"/>
      <c r="K86" s="487"/>
      <c r="L86" s="2082" t="s">
        <v>1106</v>
      </c>
      <c r="M86" s="2092">
        <v>5</v>
      </c>
      <c r="N86" s="1167" t="s">
        <v>61</v>
      </c>
      <c r="O86" s="1168">
        <f>2850000*25%+2850000</f>
        <v>3562500</v>
      </c>
      <c r="P86" s="1169">
        <f t="shared" si="16"/>
        <v>17812500</v>
      </c>
      <c r="Q86" s="1268"/>
      <c r="R86" s="997"/>
      <c r="S86" s="995"/>
      <c r="T86" s="1237"/>
      <c r="U86" s="1213"/>
      <c r="V86" s="1214"/>
    </row>
    <row r="87" spans="2:22" ht="25" x14ac:dyDescent="0.25">
      <c r="B87" s="486"/>
      <c r="C87" s="487"/>
      <c r="D87" s="487"/>
      <c r="E87" s="1650"/>
      <c r="F87" s="487"/>
      <c r="G87" s="473"/>
      <c r="H87" s="473"/>
      <c r="I87" s="489"/>
      <c r="J87" s="487"/>
      <c r="K87" s="487"/>
      <c r="L87" s="2082" t="s">
        <v>1107</v>
      </c>
      <c r="M87" s="2092">
        <v>5</v>
      </c>
      <c r="N87" s="1167" t="s">
        <v>1108</v>
      </c>
      <c r="O87" s="1168">
        <f>735000*25%+735000</f>
        <v>918750</v>
      </c>
      <c r="P87" s="1169">
        <f t="shared" si="16"/>
        <v>4593750</v>
      </c>
      <c r="Q87" s="1231"/>
      <c r="R87" s="998"/>
      <c r="S87" s="999"/>
      <c r="T87" s="1237"/>
      <c r="U87" s="1213"/>
      <c r="V87" s="1214"/>
    </row>
    <row r="88" spans="2:22" x14ac:dyDescent="0.25">
      <c r="B88" s="486"/>
      <c r="C88" s="487"/>
      <c r="D88" s="487"/>
      <c r="E88" s="1650"/>
      <c r="F88" s="487"/>
      <c r="G88" s="473"/>
      <c r="H88" s="473"/>
      <c r="I88" s="489"/>
      <c r="J88" s="487"/>
      <c r="K88" s="487"/>
      <c r="L88" s="2102"/>
      <c r="M88" s="2103"/>
      <c r="N88" s="2104"/>
      <c r="O88" s="2105"/>
      <c r="P88" s="551"/>
      <c r="Q88" s="2178"/>
      <c r="R88" s="996"/>
      <c r="S88" s="995"/>
      <c r="T88" s="1237"/>
      <c r="U88" s="1213"/>
      <c r="V88" s="1214"/>
    </row>
    <row r="89" spans="2:22" x14ac:dyDescent="0.25">
      <c r="B89" s="486">
        <v>1</v>
      </c>
      <c r="C89" s="487" t="s">
        <v>239</v>
      </c>
      <c r="D89" s="487" t="s">
        <v>84</v>
      </c>
      <c r="E89" s="1650">
        <v>15</v>
      </c>
      <c r="F89" s="1650" t="s">
        <v>86</v>
      </c>
      <c r="G89" s="473">
        <v>5</v>
      </c>
      <c r="H89" s="473">
        <v>2</v>
      </c>
      <c r="I89" s="489">
        <v>2</v>
      </c>
      <c r="J89" s="487" t="s">
        <v>97</v>
      </c>
      <c r="K89" s="487">
        <v>27</v>
      </c>
      <c r="L89" s="2097" t="s">
        <v>1109</v>
      </c>
      <c r="M89" s="2098"/>
      <c r="N89" s="2099"/>
      <c r="O89" s="2100"/>
      <c r="P89" s="551">
        <f>SUM(P90:P90)</f>
        <v>3600000</v>
      </c>
      <c r="Q89" s="1217"/>
      <c r="R89" s="1216"/>
      <c r="S89" s="1217"/>
      <c r="T89" s="1240"/>
      <c r="U89" s="1213"/>
      <c r="V89" s="1214"/>
    </row>
    <row r="90" spans="2:22" ht="25" x14ac:dyDescent="0.25">
      <c r="B90" s="486"/>
      <c r="C90" s="487"/>
      <c r="D90" s="487"/>
      <c r="E90" s="1650"/>
      <c r="F90" s="1932"/>
      <c r="G90" s="473"/>
      <c r="H90" s="473"/>
      <c r="I90" s="489"/>
      <c r="J90" s="487"/>
      <c r="K90" s="487"/>
      <c r="L90" s="1785" t="s">
        <v>1110</v>
      </c>
      <c r="M90" s="134">
        <f t="shared" ref="M90" si="17">2*2*3</f>
        <v>12</v>
      </c>
      <c r="N90" s="2106" t="s">
        <v>189</v>
      </c>
      <c r="O90" s="994">
        <v>300000</v>
      </c>
      <c r="P90" s="1594">
        <f t="shared" ref="P90" si="18">O90*M90</f>
        <v>3600000</v>
      </c>
      <c r="Q90" s="1268"/>
      <c r="R90" s="997"/>
      <c r="S90" s="995"/>
      <c r="T90" s="1237"/>
      <c r="U90" s="1213"/>
      <c r="V90" s="1214"/>
    </row>
    <row r="91" spans="2:22" x14ac:dyDescent="0.25">
      <c r="B91" s="486"/>
      <c r="C91" s="487"/>
      <c r="D91" s="487"/>
      <c r="E91" s="1650"/>
      <c r="F91" s="487"/>
      <c r="G91" s="473"/>
      <c r="H91" s="473"/>
      <c r="I91" s="489"/>
      <c r="J91" s="487"/>
      <c r="K91" s="487"/>
      <c r="L91" s="2102"/>
      <c r="M91" s="2103"/>
      <c r="N91" s="2104"/>
      <c r="O91" s="2105"/>
      <c r="P91" s="551"/>
      <c r="Q91" s="1462"/>
      <c r="R91" s="1174"/>
      <c r="S91" s="1463"/>
      <c r="T91" s="1237"/>
      <c r="U91" s="1213"/>
      <c r="V91" s="1214"/>
    </row>
    <row r="92" spans="2:22" x14ac:dyDescent="0.25">
      <c r="B92" s="486">
        <v>1</v>
      </c>
      <c r="C92" s="487" t="s">
        <v>239</v>
      </c>
      <c r="D92" s="487" t="s">
        <v>84</v>
      </c>
      <c r="E92" s="1650">
        <v>15</v>
      </c>
      <c r="F92" s="1650" t="s">
        <v>86</v>
      </c>
      <c r="G92" s="473">
        <v>5</v>
      </c>
      <c r="H92" s="473">
        <v>2</v>
      </c>
      <c r="I92" s="489">
        <v>2</v>
      </c>
      <c r="J92" s="487">
        <v>11</v>
      </c>
      <c r="K92" s="487"/>
      <c r="L92" s="2107" t="s">
        <v>187</v>
      </c>
      <c r="M92" s="2108"/>
      <c r="N92" s="2109"/>
      <c r="O92" s="2105"/>
      <c r="P92" s="2031">
        <f>P93</f>
        <v>3000000</v>
      </c>
      <c r="Q92" s="1462"/>
      <c r="R92" s="1174"/>
      <c r="S92" s="1463"/>
      <c r="T92" s="1237"/>
      <c r="U92" s="1213"/>
      <c r="V92" s="1214"/>
    </row>
    <row r="93" spans="2:22" x14ac:dyDescent="0.25">
      <c r="B93" s="486">
        <v>1</v>
      </c>
      <c r="C93" s="487" t="s">
        <v>239</v>
      </c>
      <c r="D93" s="487" t="s">
        <v>84</v>
      </c>
      <c r="E93" s="1650">
        <v>15</v>
      </c>
      <c r="F93" s="1650" t="s">
        <v>86</v>
      </c>
      <c r="G93" s="473">
        <v>5</v>
      </c>
      <c r="H93" s="473">
        <v>2</v>
      </c>
      <c r="I93" s="489">
        <v>2</v>
      </c>
      <c r="J93" s="487">
        <v>11</v>
      </c>
      <c r="K93" s="487" t="s">
        <v>101</v>
      </c>
      <c r="L93" s="2097" t="s">
        <v>188</v>
      </c>
      <c r="M93" s="2098"/>
      <c r="N93" s="2099"/>
      <c r="O93" s="2100"/>
      <c r="P93" s="551">
        <f>SUM(P94:P95)</f>
        <v>3000000</v>
      </c>
      <c r="Q93" s="1462"/>
      <c r="R93" s="1174"/>
      <c r="S93" s="1463"/>
      <c r="T93" s="1237"/>
      <c r="U93" s="1213"/>
      <c r="V93" s="1214"/>
    </row>
    <row r="94" spans="2:22" ht="25" x14ac:dyDescent="0.25">
      <c r="B94" s="486"/>
      <c r="C94" s="487"/>
      <c r="D94" s="487"/>
      <c r="E94" s="1650"/>
      <c r="F94" s="1932"/>
      <c r="G94" s="473"/>
      <c r="H94" s="473"/>
      <c r="I94" s="489"/>
      <c r="J94" s="487"/>
      <c r="K94" s="487"/>
      <c r="L94" s="1650" t="s">
        <v>1111</v>
      </c>
      <c r="M94" s="134">
        <f>50*2</f>
        <v>100</v>
      </c>
      <c r="N94" s="2106" t="s">
        <v>1112</v>
      </c>
      <c r="O94" s="994">
        <v>15000</v>
      </c>
      <c r="P94" s="1594">
        <f>O94*M94</f>
        <v>1500000</v>
      </c>
      <c r="Q94" s="1462"/>
      <c r="R94" s="1174"/>
      <c r="S94" s="1463"/>
      <c r="T94" s="1237"/>
      <c r="U94" s="1213"/>
      <c r="V94" s="1214"/>
    </row>
    <row r="95" spans="2:22" ht="25" x14ac:dyDescent="0.25">
      <c r="B95" s="486"/>
      <c r="C95" s="487"/>
      <c r="D95" s="487"/>
      <c r="E95" s="1650"/>
      <c r="F95" s="1932"/>
      <c r="G95" s="473"/>
      <c r="H95" s="473"/>
      <c r="I95" s="489"/>
      <c r="J95" s="487"/>
      <c r="K95" s="487"/>
      <c r="L95" s="1650" t="s">
        <v>1113</v>
      </c>
      <c r="M95" s="134">
        <f>50*2*2</f>
        <v>200</v>
      </c>
      <c r="N95" s="2106" t="s">
        <v>151</v>
      </c>
      <c r="O95" s="994">
        <v>7500</v>
      </c>
      <c r="P95" s="1594">
        <f>O95*M95</f>
        <v>1500000</v>
      </c>
      <c r="Q95" s="1231"/>
      <c r="R95" s="998"/>
      <c r="S95" s="999"/>
      <c r="T95" s="1237"/>
      <c r="U95" s="1213"/>
      <c r="V95" s="1214"/>
    </row>
    <row r="96" spans="2:22" x14ac:dyDescent="0.25">
      <c r="B96" s="486"/>
      <c r="C96" s="487"/>
      <c r="D96" s="487"/>
      <c r="E96" s="1650"/>
      <c r="F96" s="487"/>
      <c r="G96" s="473"/>
      <c r="H96" s="473"/>
      <c r="I96" s="489"/>
      <c r="J96" s="487"/>
      <c r="K96" s="487"/>
      <c r="L96" s="2102"/>
      <c r="M96" s="2108"/>
      <c r="N96" s="2109"/>
      <c r="O96" s="2105"/>
      <c r="P96" s="551"/>
      <c r="Q96" s="910"/>
      <c r="R96" s="909"/>
      <c r="S96" s="910"/>
      <c r="T96" s="912"/>
      <c r="U96" s="1213"/>
      <c r="V96" s="1214"/>
    </row>
    <row r="97" spans="2:22" ht="25" x14ac:dyDescent="0.25">
      <c r="B97" s="654">
        <v>1</v>
      </c>
      <c r="C97" s="564" t="s">
        <v>239</v>
      </c>
      <c r="D97" s="564" t="s">
        <v>84</v>
      </c>
      <c r="E97" s="826">
        <v>15</v>
      </c>
      <c r="F97" s="826" t="s">
        <v>86</v>
      </c>
      <c r="G97" s="474">
        <v>5</v>
      </c>
      <c r="H97" s="474">
        <v>2</v>
      </c>
      <c r="I97" s="566">
        <v>2</v>
      </c>
      <c r="J97" s="564">
        <v>17</v>
      </c>
      <c r="K97" s="564"/>
      <c r="L97" s="2110" t="s">
        <v>860</v>
      </c>
      <c r="M97" s="2108"/>
      <c r="N97" s="2109"/>
      <c r="O97" s="2105"/>
      <c r="P97" s="871">
        <f>P98</f>
        <v>18000000</v>
      </c>
      <c r="Q97" s="2178"/>
      <c r="R97" s="996"/>
      <c r="S97" s="995"/>
      <c r="T97" s="1240">
        <f>T98</f>
        <v>2000000</v>
      </c>
      <c r="U97" s="1195"/>
      <c r="V97" s="1196"/>
    </row>
    <row r="98" spans="2:22" ht="25" x14ac:dyDescent="0.25">
      <c r="B98" s="486">
        <v>1</v>
      </c>
      <c r="C98" s="487" t="s">
        <v>239</v>
      </c>
      <c r="D98" s="487" t="s">
        <v>84</v>
      </c>
      <c r="E98" s="1650">
        <v>15</v>
      </c>
      <c r="F98" s="1650" t="s">
        <v>86</v>
      </c>
      <c r="G98" s="473">
        <v>5</v>
      </c>
      <c r="H98" s="473">
        <v>2</v>
      </c>
      <c r="I98" s="489">
        <v>2</v>
      </c>
      <c r="J98" s="487">
        <v>17</v>
      </c>
      <c r="K98" s="487" t="s">
        <v>84</v>
      </c>
      <c r="L98" s="2111" t="s">
        <v>420</v>
      </c>
      <c r="M98" s="2112"/>
      <c r="N98" s="2113"/>
      <c r="O98" s="2105"/>
      <c r="P98" s="1594">
        <f>SUM(P99:P99)</f>
        <v>18000000</v>
      </c>
      <c r="Q98" s="1268"/>
      <c r="R98" s="997"/>
      <c r="S98" s="995"/>
      <c r="T98" s="1237">
        <f>T99</f>
        <v>2000000</v>
      </c>
      <c r="U98" s="1213"/>
      <c r="V98" s="1214"/>
    </row>
    <row r="99" spans="2:22" x14ac:dyDescent="0.25">
      <c r="B99" s="486"/>
      <c r="C99" s="487"/>
      <c r="D99" s="487"/>
      <c r="E99" s="1650"/>
      <c r="F99" s="487"/>
      <c r="G99" s="473"/>
      <c r="H99" s="473"/>
      <c r="I99" s="489"/>
      <c r="J99" s="487"/>
      <c r="K99" s="487"/>
      <c r="L99" s="2114" t="s">
        <v>457</v>
      </c>
      <c r="M99" s="2115">
        <v>1</v>
      </c>
      <c r="N99" s="998" t="s">
        <v>2</v>
      </c>
      <c r="O99" s="2116">
        <v>18000000</v>
      </c>
      <c r="P99" s="1594">
        <f>O99*M99</f>
        <v>18000000</v>
      </c>
      <c r="Q99" s="1231">
        <v>1</v>
      </c>
      <c r="R99" s="998" t="s">
        <v>2</v>
      </c>
      <c r="S99" s="999">
        <v>2000000</v>
      </c>
      <c r="T99" s="1237">
        <f t="shared" ref="T99" si="19">Q99*S99</f>
        <v>2000000</v>
      </c>
      <c r="U99" s="1213"/>
      <c r="V99" s="1214"/>
    </row>
    <row r="100" spans="2:22" x14ac:dyDescent="0.25">
      <c r="B100" s="486"/>
      <c r="C100" s="487"/>
      <c r="D100" s="487"/>
      <c r="E100" s="1650"/>
      <c r="F100" s="487"/>
      <c r="G100" s="473"/>
      <c r="H100" s="473"/>
      <c r="I100" s="489"/>
      <c r="J100" s="487"/>
      <c r="K100" s="487"/>
      <c r="L100" s="2102"/>
      <c r="M100" s="2108"/>
      <c r="N100" s="2109"/>
      <c r="O100" s="2105"/>
      <c r="P100" s="551"/>
      <c r="Q100" s="2178"/>
      <c r="R100" s="996"/>
      <c r="S100" s="995"/>
      <c r="T100" s="1237"/>
      <c r="U100" s="1213"/>
      <c r="V100" s="1214"/>
    </row>
    <row r="101" spans="2:22" x14ac:dyDescent="0.25">
      <c r="B101" s="486">
        <v>1</v>
      </c>
      <c r="C101" s="487" t="s">
        <v>239</v>
      </c>
      <c r="D101" s="487" t="s">
        <v>84</v>
      </c>
      <c r="E101" s="1650">
        <v>15</v>
      </c>
      <c r="F101" s="1650" t="s">
        <v>86</v>
      </c>
      <c r="G101" s="473">
        <v>5</v>
      </c>
      <c r="H101" s="473">
        <v>2</v>
      </c>
      <c r="I101" s="489">
        <v>2</v>
      </c>
      <c r="J101" s="487">
        <v>20</v>
      </c>
      <c r="K101" s="487"/>
      <c r="L101" s="494" t="s">
        <v>159</v>
      </c>
      <c r="M101" s="2045"/>
      <c r="N101" s="1326"/>
      <c r="O101" s="505"/>
      <c r="P101" s="2031">
        <f>P102</f>
        <v>152000000</v>
      </c>
      <c r="Q101" s="1217"/>
      <c r="R101" s="1216"/>
      <c r="S101" s="1217"/>
      <c r="T101" s="1240">
        <f>T102</f>
        <v>146992500</v>
      </c>
      <c r="U101" s="1213"/>
      <c r="V101" s="1214"/>
    </row>
    <row r="102" spans="2:22" ht="25" x14ac:dyDescent="0.25">
      <c r="B102" s="654">
        <v>1</v>
      </c>
      <c r="C102" s="564" t="s">
        <v>239</v>
      </c>
      <c r="D102" s="564" t="s">
        <v>84</v>
      </c>
      <c r="E102" s="826">
        <v>15</v>
      </c>
      <c r="F102" s="826" t="s">
        <v>86</v>
      </c>
      <c r="G102" s="474">
        <v>5</v>
      </c>
      <c r="H102" s="474">
        <v>2</v>
      </c>
      <c r="I102" s="566">
        <v>2</v>
      </c>
      <c r="J102" s="564">
        <v>20</v>
      </c>
      <c r="K102" s="2117">
        <v>17</v>
      </c>
      <c r="L102" s="2118" t="s">
        <v>458</v>
      </c>
      <c r="M102" s="2112"/>
      <c r="N102" s="2113"/>
      <c r="O102" s="2105"/>
      <c r="P102" s="1594">
        <f>SUM(P103:P106)</f>
        <v>152000000</v>
      </c>
      <c r="Q102" s="1268"/>
      <c r="R102" s="997"/>
      <c r="S102" s="995"/>
      <c r="T102" s="1237">
        <f>SUM(T103:T106)</f>
        <v>146992500</v>
      </c>
      <c r="U102" s="1213"/>
      <c r="V102" s="1214"/>
    </row>
    <row r="103" spans="2:22" ht="25" x14ac:dyDescent="0.25">
      <c r="B103" s="486"/>
      <c r="C103" s="487"/>
      <c r="D103" s="487"/>
      <c r="E103" s="1650"/>
      <c r="F103" s="487"/>
      <c r="G103" s="473"/>
      <c r="H103" s="473"/>
      <c r="I103" s="489"/>
      <c r="J103" s="487"/>
      <c r="K103" s="487"/>
      <c r="L103" s="2114" t="s">
        <v>459</v>
      </c>
      <c r="M103" s="2115">
        <v>1</v>
      </c>
      <c r="N103" s="998" t="s">
        <v>2</v>
      </c>
      <c r="O103" s="999">
        <v>50000000</v>
      </c>
      <c r="P103" s="1594">
        <f>O103*M103</f>
        <v>50000000</v>
      </c>
      <c r="Q103" s="1462">
        <v>1</v>
      </c>
      <c r="R103" s="1174" t="s">
        <v>2</v>
      </c>
      <c r="S103" s="1463">
        <v>40500000</v>
      </c>
      <c r="T103" s="1237">
        <f t="shared" ref="T103:T106" si="20">Q103*S103</f>
        <v>40500000</v>
      </c>
      <c r="U103" s="1213"/>
      <c r="V103" s="1214"/>
    </row>
    <row r="104" spans="2:22" ht="25" x14ac:dyDescent="0.25">
      <c r="B104" s="486"/>
      <c r="C104" s="487"/>
      <c r="D104" s="487"/>
      <c r="E104" s="1650"/>
      <c r="F104" s="487"/>
      <c r="G104" s="473"/>
      <c r="H104" s="473"/>
      <c r="I104" s="489"/>
      <c r="J104" s="487"/>
      <c r="K104" s="487"/>
      <c r="L104" s="2114" t="s">
        <v>460</v>
      </c>
      <c r="M104" s="2115">
        <v>1</v>
      </c>
      <c r="N104" s="998" t="s">
        <v>2</v>
      </c>
      <c r="O104" s="999">
        <v>40000000</v>
      </c>
      <c r="P104" s="1594">
        <f>O104*M104</f>
        <v>40000000</v>
      </c>
      <c r="Q104" s="1462">
        <v>1</v>
      </c>
      <c r="R104" s="1174" t="s">
        <v>2</v>
      </c>
      <c r="S104" s="1463">
        <v>30000000</v>
      </c>
      <c r="T104" s="1237">
        <f t="shared" si="20"/>
        <v>30000000</v>
      </c>
      <c r="U104" s="1213"/>
      <c r="V104" s="1214"/>
    </row>
    <row r="105" spans="2:22" x14ac:dyDescent="0.25">
      <c r="B105" s="486"/>
      <c r="C105" s="487"/>
      <c r="D105" s="487"/>
      <c r="E105" s="1650"/>
      <c r="F105" s="487"/>
      <c r="G105" s="473"/>
      <c r="H105" s="473"/>
      <c r="I105" s="489"/>
      <c r="J105" s="487"/>
      <c r="K105" s="487"/>
      <c r="L105" s="2114" t="s">
        <v>861</v>
      </c>
      <c r="M105" s="2115">
        <v>1</v>
      </c>
      <c r="N105" s="998" t="s">
        <v>2</v>
      </c>
      <c r="O105" s="2119">
        <v>30000000</v>
      </c>
      <c r="P105" s="551">
        <f>O105*M105</f>
        <v>30000000</v>
      </c>
      <c r="Q105" s="1462">
        <v>1</v>
      </c>
      <c r="R105" s="1174" t="s">
        <v>2</v>
      </c>
      <c r="S105" s="1463">
        <v>20000000</v>
      </c>
      <c r="T105" s="1237">
        <f t="shared" si="20"/>
        <v>20000000</v>
      </c>
      <c r="U105" s="1213"/>
      <c r="V105" s="1214"/>
    </row>
    <row r="106" spans="2:22" x14ac:dyDescent="0.25">
      <c r="B106" s="486"/>
      <c r="C106" s="487"/>
      <c r="D106" s="487"/>
      <c r="E106" s="1650"/>
      <c r="F106" s="487"/>
      <c r="G106" s="473"/>
      <c r="H106" s="473"/>
      <c r="I106" s="489"/>
      <c r="J106" s="487"/>
      <c r="K106" s="487"/>
      <c r="L106" s="2114" t="s">
        <v>862</v>
      </c>
      <c r="M106" s="2115">
        <v>1</v>
      </c>
      <c r="N106" s="998" t="s">
        <v>2</v>
      </c>
      <c r="O106" s="2119">
        <v>32000000</v>
      </c>
      <c r="P106" s="551">
        <f>O106*M106</f>
        <v>32000000</v>
      </c>
      <c r="Q106" s="1462">
        <v>1</v>
      </c>
      <c r="R106" s="1174" t="s">
        <v>2</v>
      </c>
      <c r="S106" s="1463">
        <v>56492500</v>
      </c>
      <c r="T106" s="1237">
        <f t="shared" si="20"/>
        <v>56492500</v>
      </c>
      <c r="U106" s="1213"/>
      <c r="V106" s="1214"/>
    </row>
    <row r="107" spans="2:22" x14ac:dyDescent="0.25">
      <c r="B107" s="486"/>
      <c r="C107" s="487"/>
      <c r="D107" s="487"/>
      <c r="E107" s="1650"/>
      <c r="F107" s="487"/>
      <c r="G107" s="473"/>
      <c r="H107" s="473"/>
      <c r="I107" s="489"/>
      <c r="J107" s="487"/>
      <c r="K107" s="487"/>
      <c r="L107" s="2114"/>
      <c r="M107" s="2120"/>
      <c r="N107" s="2121"/>
      <c r="O107" s="2119"/>
      <c r="P107" s="551"/>
      <c r="Q107" s="1231"/>
      <c r="R107" s="998"/>
      <c r="S107" s="999"/>
      <c r="T107" s="1237"/>
      <c r="U107" s="1213"/>
      <c r="V107" s="1214"/>
    </row>
    <row r="108" spans="2:22" x14ac:dyDescent="0.25">
      <c r="B108" s="654">
        <v>1</v>
      </c>
      <c r="C108" s="564" t="s">
        <v>239</v>
      </c>
      <c r="D108" s="564" t="s">
        <v>84</v>
      </c>
      <c r="E108" s="826">
        <v>15</v>
      </c>
      <c r="F108" s="826" t="s">
        <v>86</v>
      </c>
      <c r="G108" s="2084">
        <v>5</v>
      </c>
      <c r="H108" s="2084">
        <v>2</v>
      </c>
      <c r="I108" s="2122">
        <v>2</v>
      </c>
      <c r="J108" s="2122">
        <v>21</v>
      </c>
      <c r="K108" s="2084"/>
      <c r="L108" s="2123" t="s">
        <v>753</v>
      </c>
      <c r="M108" s="2124"/>
      <c r="N108" s="2125"/>
      <c r="O108" s="2126"/>
      <c r="P108" s="2168">
        <f>P109</f>
        <v>50000000</v>
      </c>
      <c r="Q108" s="910"/>
      <c r="R108" s="909"/>
      <c r="S108" s="910"/>
      <c r="T108" s="912">
        <f>T109</f>
        <v>50000000</v>
      </c>
      <c r="U108" s="1213"/>
      <c r="V108" s="1214"/>
    </row>
    <row r="109" spans="2:22" x14ac:dyDescent="0.25">
      <c r="B109" s="654">
        <v>1</v>
      </c>
      <c r="C109" s="564" t="s">
        <v>239</v>
      </c>
      <c r="D109" s="564" t="s">
        <v>84</v>
      </c>
      <c r="E109" s="826">
        <v>15</v>
      </c>
      <c r="F109" s="826" t="s">
        <v>86</v>
      </c>
      <c r="G109" s="2084">
        <v>5</v>
      </c>
      <c r="H109" s="2084">
        <v>2</v>
      </c>
      <c r="I109" s="2122">
        <v>2</v>
      </c>
      <c r="J109" s="2127">
        <v>21</v>
      </c>
      <c r="K109" s="2073" t="s">
        <v>87</v>
      </c>
      <c r="L109" s="2128" t="s">
        <v>754</v>
      </c>
      <c r="M109" s="2124"/>
      <c r="N109" s="2125"/>
      <c r="O109" s="2126"/>
      <c r="P109" s="2166">
        <f>SUM(P110:P110)</f>
        <v>50000000</v>
      </c>
      <c r="Q109" s="910"/>
      <c r="R109" s="909"/>
      <c r="S109" s="910"/>
      <c r="T109" s="916">
        <f>SUM(T110)</f>
        <v>50000000</v>
      </c>
      <c r="U109" s="1213"/>
      <c r="V109" s="1214"/>
    </row>
    <row r="110" spans="2:22" ht="25" x14ac:dyDescent="0.25">
      <c r="B110" s="2129"/>
      <c r="C110" s="2130"/>
      <c r="D110" s="2130"/>
      <c r="E110" s="2130"/>
      <c r="F110" s="2130"/>
      <c r="G110" s="2130"/>
      <c r="H110" s="2130"/>
      <c r="I110" s="2131"/>
      <c r="J110" s="2131"/>
      <c r="K110" s="2132"/>
      <c r="L110" s="2133" t="s">
        <v>863</v>
      </c>
      <c r="M110" s="2134">
        <v>1</v>
      </c>
      <c r="N110" s="2135" t="s">
        <v>653</v>
      </c>
      <c r="O110" s="2136">
        <v>50000000</v>
      </c>
      <c r="P110" s="2169">
        <f>O110*M110</f>
        <v>50000000</v>
      </c>
      <c r="Q110" s="918">
        <v>1</v>
      </c>
      <c r="R110" s="919" t="s">
        <v>653</v>
      </c>
      <c r="S110" s="920">
        <v>50000000</v>
      </c>
      <c r="T110" s="1237">
        <f t="shared" ref="T110" si="21">Q110*S110</f>
        <v>50000000</v>
      </c>
      <c r="U110" s="1213"/>
      <c r="V110" s="1214"/>
    </row>
    <row r="111" spans="2:22" x14ac:dyDescent="0.25">
      <c r="B111" s="486"/>
      <c r="C111" s="487"/>
      <c r="D111" s="487"/>
      <c r="E111" s="1650"/>
      <c r="F111" s="487"/>
      <c r="G111" s="473"/>
      <c r="H111" s="473"/>
      <c r="I111" s="489"/>
      <c r="J111" s="487"/>
      <c r="K111" s="487"/>
      <c r="L111" s="2114"/>
      <c r="M111" s="2137"/>
      <c r="N111" s="2138"/>
      <c r="O111" s="2119"/>
      <c r="P111" s="551"/>
      <c r="Q111" s="1217"/>
      <c r="R111" s="1216"/>
      <c r="S111" s="1217"/>
      <c r="T111" s="1240"/>
      <c r="U111" s="1213"/>
      <c r="V111" s="1214"/>
    </row>
    <row r="112" spans="2:22" ht="25" x14ac:dyDescent="0.25">
      <c r="B112" s="654">
        <v>1</v>
      </c>
      <c r="C112" s="564" t="s">
        <v>239</v>
      </c>
      <c r="D112" s="564" t="s">
        <v>84</v>
      </c>
      <c r="E112" s="826">
        <v>15</v>
      </c>
      <c r="F112" s="826" t="s">
        <v>86</v>
      </c>
      <c r="G112" s="474">
        <v>5</v>
      </c>
      <c r="H112" s="474">
        <v>2</v>
      </c>
      <c r="I112" s="566">
        <v>2</v>
      </c>
      <c r="J112" s="564">
        <v>22</v>
      </c>
      <c r="K112" s="564"/>
      <c r="L112" s="2110" t="s">
        <v>420</v>
      </c>
      <c r="M112" s="1593"/>
      <c r="N112" s="863"/>
      <c r="O112" s="880"/>
      <c r="P112" s="871">
        <f>P113</f>
        <v>10000000</v>
      </c>
      <c r="Q112" s="1268"/>
      <c r="R112" s="997"/>
      <c r="S112" s="995"/>
      <c r="T112" s="1237"/>
      <c r="U112" s="1213"/>
      <c r="V112" s="1214"/>
    </row>
    <row r="113" spans="2:22" ht="25" x14ac:dyDescent="0.25">
      <c r="B113" s="654">
        <v>1</v>
      </c>
      <c r="C113" s="564" t="s">
        <v>239</v>
      </c>
      <c r="D113" s="564" t="s">
        <v>84</v>
      </c>
      <c r="E113" s="826">
        <v>15</v>
      </c>
      <c r="F113" s="826" t="s">
        <v>86</v>
      </c>
      <c r="G113" s="474">
        <v>5</v>
      </c>
      <c r="H113" s="474">
        <v>2</v>
      </c>
      <c r="I113" s="566">
        <v>2</v>
      </c>
      <c r="J113" s="564">
        <v>22</v>
      </c>
      <c r="K113" s="564" t="s">
        <v>84</v>
      </c>
      <c r="L113" s="2111" t="s">
        <v>420</v>
      </c>
      <c r="M113" s="2112"/>
      <c r="N113" s="2113"/>
      <c r="O113" s="2105"/>
      <c r="P113" s="1594">
        <f>SUM(P114:P114)</f>
        <v>10000000</v>
      </c>
      <c r="Q113" s="1462"/>
      <c r="R113" s="1174"/>
      <c r="S113" s="1170"/>
      <c r="T113" s="1237"/>
      <c r="U113" s="1213"/>
      <c r="V113" s="1214"/>
    </row>
    <row r="114" spans="2:22" x14ac:dyDescent="0.25">
      <c r="B114" s="486"/>
      <c r="C114" s="487"/>
      <c r="D114" s="487"/>
      <c r="E114" s="1650"/>
      <c r="F114" s="487"/>
      <c r="G114" s="473"/>
      <c r="H114" s="473"/>
      <c r="I114" s="489"/>
      <c r="J114" s="487"/>
      <c r="K114" s="487"/>
      <c r="L114" s="2114" t="s">
        <v>457</v>
      </c>
      <c r="M114" s="2120">
        <v>1</v>
      </c>
      <c r="N114" s="2121" t="s">
        <v>2</v>
      </c>
      <c r="O114" s="2119">
        <v>10000000</v>
      </c>
      <c r="P114" s="551">
        <f>O114*M114</f>
        <v>10000000</v>
      </c>
      <c r="Q114" s="1268"/>
      <c r="R114" s="997"/>
      <c r="S114" s="1000"/>
      <c r="T114" s="1237"/>
      <c r="U114" s="1213"/>
      <c r="V114" s="1214"/>
    </row>
    <row r="115" spans="2:22" x14ac:dyDescent="0.25">
      <c r="B115" s="486"/>
      <c r="C115" s="487"/>
      <c r="D115" s="487"/>
      <c r="E115" s="1650"/>
      <c r="F115" s="487"/>
      <c r="G115" s="473"/>
      <c r="H115" s="473"/>
      <c r="I115" s="489"/>
      <c r="J115" s="487"/>
      <c r="K115" s="487"/>
      <c r="L115" s="2139"/>
      <c r="M115" s="2112"/>
      <c r="N115" s="2113"/>
      <c r="O115" s="2140"/>
      <c r="P115" s="551"/>
      <c r="Q115" s="1217"/>
      <c r="R115" s="1216"/>
      <c r="S115" s="1217"/>
      <c r="T115" s="1240"/>
      <c r="U115" s="1213"/>
      <c r="V115" s="1214"/>
    </row>
    <row r="116" spans="2:22" x14ac:dyDescent="0.25">
      <c r="B116" s="486">
        <v>1</v>
      </c>
      <c r="C116" s="487" t="s">
        <v>239</v>
      </c>
      <c r="D116" s="487" t="s">
        <v>84</v>
      </c>
      <c r="E116" s="1650">
        <v>15</v>
      </c>
      <c r="F116" s="1650" t="s">
        <v>86</v>
      </c>
      <c r="G116" s="473">
        <v>5</v>
      </c>
      <c r="H116" s="473">
        <v>2</v>
      </c>
      <c r="I116" s="489">
        <v>3</v>
      </c>
      <c r="J116" s="487"/>
      <c r="K116" s="489"/>
      <c r="L116" s="494" t="s">
        <v>92</v>
      </c>
      <c r="M116" s="2045"/>
      <c r="N116" s="1326"/>
      <c r="O116" s="505"/>
      <c r="P116" s="871">
        <f>P117</f>
        <v>1702375000</v>
      </c>
      <c r="Q116" s="1217"/>
      <c r="R116" s="1216"/>
      <c r="S116" s="1217"/>
      <c r="T116" s="1240">
        <f>T117</f>
        <v>1451230842</v>
      </c>
      <c r="U116" s="1213"/>
      <c r="V116" s="1214"/>
    </row>
    <row r="117" spans="2:22" x14ac:dyDescent="0.25">
      <c r="B117" s="654">
        <v>1</v>
      </c>
      <c r="C117" s="564" t="s">
        <v>239</v>
      </c>
      <c r="D117" s="564" t="s">
        <v>84</v>
      </c>
      <c r="E117" s="826">
        <v>15</v>
      </c>
      <c r="F117" s="826" t="s">
        <v>86</v>
      </c>
      <c r="G117" s="566">
        <v>5</v>
      </c>
      <c r="H117" s="566">
        <v>2</v>
      </c>
      <c r="I117" s="566">
        <v>3</v>
      </c>
      <c r="J117" s="564">
        <v>12</v>
      </c>
      <c r="K117" s="564"/>
      <c r="L117" s="1082" t="s">
        <v>224</v>
      </c>
      <c r="M117" s="2141"/>
      <c r="N117" s="2142"/>
      <c r="O117" s="2143"/>
      <c r="P117" s="871">
        <f>P118+P127</f>
        <v>1702375000</v>
      </c>
      <c r="Q117" s="1233"/>
      <c r="R117" s="1232"/>
      <c r="S117" s="1233"/>
      <c r="T117" s="1240">
        <f>SUM(T118+T127)</f>
        <v>1451230842</v>
      </c>
      <c r="U117" s="1213"/>
      <c r="V117" s="1214"/>
    </row>
    <row r="118" spans="2:22" x14ac:dyDescent="0.25">
      <c r="B118" s="654">
        <v>1</v>
      </c>
      <c r="C118" s="564" t="s">
        <v>239</v>
      </c>
      <c r="D118" s="564" t="s">
        <v>84</v>
      </c>
      <c r="E118" s="826">
        <v>15</v>
      </c>
      <c r="F118" s="826" t="s">
        <v>86</v>
      </c>
      <c r="G118" s="566">
        <v>5</v>
      </c>
      <c r="H118" s="566">
        <v>2</v>
      </c>
      <c r="I118" s="566">
        <v>3</v>
      </c>
      <c r="J118" s="564">
        <v>12</v>
      </c>
      <c r="K118" s="564" t="s">
        <v>94</v>
      </c>
      <c r="L118" s="1082" t="s">
        <v>433</v>
      </c>
      <c r="M118" s="2141"/>
      <c r="N118" s="2142"/>
      <c r="O118" s="2143"/>
      <c r="P118" s="871">
        <f>SUM(P119:P125)</f>
        <v>202375000</v>
      </c>
      <c r="Q118" s="1233"/>
      <c r="R118" s="1232"/>
      <c r="S118" s="1233"/>
      <c r="T118" s="1240">
        <f>SUM(T119:T125)</f>
        <v>202375000</v>
      </c>
      <c r="U118" s="1213"/>
      <c r="V118" s="1214"/>
    </row>
    <row r="119" spans="2:22" x14ac:dyDescent="0.25">
      <c r="B119" s="486"/>
      <c r="C119" s="487"/>
      <c r="D119" s="487"/>
      <c r="E119" s="1650"/>
      <c r="F119" s="1650"/>
      <c r="G119" s="489"/>
      <c r="H119" s="489"/>
      <c r="I119" s="489"/>
      <c r="J119" s="487"/>
      <c r="K119" s="487"/>
      <c r="L119" s="1069" t="s">
        <v>864</v>
      </c>
      <c r="M119" s="1066">
        <v>2</v>
      </c>
      <c r="N119" s="1067" t="s">
        <v>578</v>
      </c>
      <c r="O119" s="1068">
        <v>79250000</v>
      </c>
      <c r="P119" s="551">
        <f>O119*M119</f>
        <v>158500000</v>
      </c>
      <c r="Q119" s="1215">
        <v>2</v>
      </c>
      <c r="R119" s="1215" t="s">
        <v>578</v>
      </c>
      <c r="S119" s="1140">
        <v>79250000</v>
      </c>
      <c r="T119" s="1237">
        <f t="shared" ref="T119:T125" si="22">Q119*S119</f>
        <v>158500000</v>
      </c>
      <c r="U119" s="1213"/>
      <c r="V119" s="1214"/>
    </row>
    <row r="120" spans="2:22" x14ac:dyDescent="0.25">
      <c r="B120" s="486"/>
      <c r="C120" s="487"/>
      <c r="D120" s="487"/>
      <c r="E120" s="1650"/>
      <c r="F120" s="1650"/>
      <c r="G120" s="489"/>
      <c r="H120" s="489"/>
      <c r="I120" s="489"/>
      <c r="J120" s="487"/>
      <c r="K120" s="487"/>
      <c r="L120" s="1069" t="s">
        <v>865</v>
      </c>
      <c r="M120" s="1066">
        <v>4</v>
      </c>
      <c r="N120" s="1067" t="s">
        <v>578</v>
      </c>
      <c r="O120" s="1068">
        <v>2500000</v>
      </c>
      <c r="P120" s="551">
        <f t="shared" ref="P120:P124" si="23">O120*M120</f>
        <v>10000000</v>
      </c>
      <c r="Q120" s="1215">
        <v>4</v>
      </c>
      <c r="R120" s="1215" t="s">
        <v>578</v>
      </c>
      <c r="S120" s="1140">
        <v>2500000</v>
      </c>
      <c r="T120" s="1237">
        <f t="shared" si="22"/>
        <v>10000000</v>
      </c>
      <c r="U120" s="1213"/>
      <c r="V120" s="1214"/>
    </row>
    <row r="121" spans="2:22" x14ac:dyDescent="0.25">
      <c r="B121" s="486"/>
      <c r="C121" s="487"/>
      <c r="D121" s="487"/>
      <c r="E121" s="1650"/>
      <c r="F121" s="1650"/>
      <c r="G121" s="489"/>
      <c r="H121" s="489"/>
      <c r="I121" s="489"/>
      <c r="J121" s="487"/>
      <c r="K121" s="487"/>
      <c r="L121" s="1069" t="s">
        <v>866</v>
      </c>
      <c r="M121" s="1066">
        <v>2</v>
      </c>
      <c r="N121" s="1067" t="s">
        <v>177</v>
      </c>
      <c r="O121" s="1068">
        <v>6750000</v>
      </c>
      <c r="P121" s="551">
        <f t="shared" si="23"/>
        <v>13500000</v>
      </c>
      <c r="Q121" s="1215">
        <v>2</v>
      </c>
      <c r="R121" s="1215" t="s">
        <v>177</v>
      </c>
      <c r="S121" s="1140">
        <v>6750000</v>
      </c>
      <c r="T121" s="1237">
        <f t="shared" si="22"/>
        <v>13500000</v>
      </c>
      <c r="U121" s="1213"/>
      <c r="V121" s="1214"/>
    </row>
    <row r="122" spans="2:22" x14ac:dyDescent="0.25">
      <c r="B122" s="486"/>
      <c r="C122" s="487"/>
      <c r="D122" s="487"/>
      <c r="E122" s="1650"/>
      <c r="F122" s="1650"/>
      <c r="G122" s="489"/>
      <c r="H122" s="489"/>
      <c r="I122" s="489"/>
      <c r="J122" s="487"/>
      <c r="K122" s="487"/>
      <c r="L122" s="1069" t="s">
        <v>867</v>
      </c>
      <c r="M122" s="1066">
        <v>2</v>
      </c>
      <c r="N122" s="1067" t="s">
        <v>177</v>
      </c>
      <c r="O122" s="1068">
        <v>3750000</v>
      </c>
      <c r="P122" s="551">
        <f t="shared" si="23"/>
        <v>7500000</v>
      </c>
      <c r="Q122" s="1215">
        <v>2</v>
      </c>
      <c r="R122" s="1215" t="s">
        <v>177</v>
      </c>
      <c r="S122" s="1140">
        <v>3750000</v>
      </c>
      <c r="T122" s="1237">
        <f t="shared" si="22"/>
        <v>7500000</v>
      </c>
      <c r="U122" s="1213"/>
      <c r="V122" s="1214"/>
    </row>
    <row r="123" spans="2:22" x14ac:dyDescent="0.25">
      <c r="B123" s="486"/>
      <c r="C123" s="487"/>
      <c r="D123" s="487"/>
      <c r="E123" s="1650"/>
      <c r="F123" s="1650"/>
      <c r="G123" s="489"/>
      <c r="H123" s="489"/>
      <c r="I123" s="489"/>
      <c r="J123" s="487"/>
      <c r="K123" s="487"/>
      <c r="L123" s="1069" t="s">
        <v>868</v>
      </c>
      <c r="M123" s="1066">
        <v>2</v>
      </c>
      <c r="N123" s="1067" t="s">
        <v>578</v>
      </c>
      <c r="O123" s="1068">
        <v>1875000</v>
      </c>
      <c r="P123" s="551">
        <f t="shared" si="23"/>
        <v>3750000</v>
      </c>
      <c r="Q123" s="1215">
        <v>2</v>
      </c>
      <c r="R123" s="1215" t="s">
        <v>578</v>
      </c>
      <c r="S123" s="1140">
        <v>1875000</v>
      </c>
      <c r="T123" s="1237">
        <f t="shared" si="22"/>
        <v>3750000</v>
      </c>
      <c r="U123" s="1213"/>
      <c r="V123" s="1214"/>
    </row>
    <row r="124" spans="2:22" x14ac:dyDescent="0.25">
      <c r="B124" s="486"/>
      <c r="C124" s="487"/>
      <c r="D124" s="487"/>
      <c r="E124" s="1650"/>
      <c r="F124" s="1650"/>
      <c r="G124" s="489"/>
      <c r="H124" s="489"/>
      <c r="I124" s="489"/>
      <c r="J124" s="487"/>
      <c r="K124" s="487"/>
      <c r="L124" s="1069" t="s">
        <v>869</v>
      </c>
      <c r="M124" s="1066">
        <v>1</v>
      </c>
      <c r="N124" s="1067" t="s">
        <v>578</v>
      </c>
      <c r="O124" s="1068">
        <v>3750000</v>
      </c>
      <c r="P124" s="551">
        <f t="shared" si="23"/>
        <v>3750000</v>
      </c>
      <c r="Q124" s="1215">
        <v>1</v>
      </c>
      <c r="R124" s="1215" t="s">
        <v>578</v>
      </c>
      <c r="S124" s="1140">
        <v>3750000</v>
      </c>
      <c r="T124" s="1237">
        <f t="shared" si="22"/>
        <v>3750000</v>
      </c>
      <c r="U124" s="1213"/>
      <c r="V124" s="1214"/>
    </row>
    <row r="125" spans="2:22" x14ac:dyDescent="0.25">
      <c r="B125" s="486"/>
      <c r="C125" s="487"/>
      <c r="D125" s="487"/>
      <c r="E125" s="1650"/>
      <c r="F125" s="1650"/>
      <c r="G125" s="489"/>
      <c r="H125" s="489"/>
      <c r="I125" s="489"/>
      <c r="J125" s="487"/>
      <c r="K125" s="487"/>
      <c r="L125" s="1069" t="s">
        <v>870</v>
      </c>
      <c r="M125" s="1066">
        <v>1</v>
      </c>
      <c r="N125" s="1067" t="s">
        <v>578</v>
      </c>
      <c r="O125" s="1068">
        <v>5375000</v>
      </c>
      <c r="P125" s="551">
        <f>O125*M125</f>
        <v>5375000</v>
      </c>
      <c r="Q125" s="1215">
        <v>1</v>
      </c>
      <c r="R125" s="1215" t="s">
        <v>578</v>
      </c>
      <c r="S125" s="1140">
        <v>5375000</v>
      </c>
      <c r="T125" s="1237">
        <f t="shared" si="22"/>
        <v>5375000</v>
      </c>
      <c r="U125" s="1213"/>
      <c r="V125" s="1214"/>
    </row>
    <row r="126" spans="2:22" x14ac:dyDescent="0.25">
      <c r="B126" s="486"/>
      <c r="C126" s="487"/>
      <c r="D126" s="487"/>
      <c r="E126" s="1650"/>
      <c r="F126" s="1650"/>
      <c r="G126" s="473"/>
      <c r="H126" s="473"/>
      <c r="I126" s="489"/>
      <c r="J126" s="487"/>
      <c r="K126" s="489"/>
      <c r="L126" s="2144"/>
      <c r="M126" s="2145"/>
      <c r="N126" s="1099"/>
      <c r="O126" s="1100"/>
      <c r="P126" s="968"/>
      <c r="Q126" s="2179"/>
      <c r="R126" s="1234"/>
      <c r="S126" s="1235"/>
      <c r="T126" s="1241"/>
      <c r="U126" s="1213"/>
      <c r="V126" s="1214"/>
    </row>
    <row r="127" spans="2:22" ht="25" x14ac:dyDescent="0.25">
      <c r="B127" s="654">
        <v>1</v>
      </c>
      <c r="C127" s="564" t="s">
        <v>239</v>
      </c>
      <c r="D127" s="564" t="s">
        <v>84</v>
      </c>
      <c r="E127" s="826">
        <v>15</v>
      </c>
      <c r="F127" s="826" t="s">
        <v>86</v>
      </c>
      <c r="G127" s="474">
        <v>5</v>
      </c>
      <c r="H127" s="474">
        <v>2</v>
      </c>
      <c r="I127" s="566">
        <v>3</v>
      </c>
      <c r="J127" s="564">
        <v>12</v>
      </c>
      <c r="K127" s="566">
        <v>10</v>
      </c>
      <c r="L127" s="2146" t="s">
        <v>871</v>
      </c>
      <c r="M127" s="2033"/>
      <c r="N127" s="1982"/>
      <c r="O127" s="2014"/>
      <c r="P127" s="2170">
        <f>P128</f>
        <v>1500000000</v>
      </c>
      <c r="Q127" s="1270"/>
      <c r="R127" s="1269"/>
      <c r="S127" s="1270"/>
      <c r="T127" s="1242">
        <f>T128</f>
        <v>1248855842</v>
      </c>
      <c r="U127" s="1213"/>
      <c r="V127" s="1214"/>
    </row>
    <row r="128" spans="2:22" ht="25" x14ac:dyDescent="0.25">
      <c r="B128" s="654"/>
      <c r="C128" s="564"/>
      <c r="D128" s="564"/>
      <c r="E128" s="826"/>
      <c r="F128" s="826"/>
      <c r="G128" s="474"/>
      <c r="H128" s="474"/>
      <c r="I128" s="566"/>
      <c r="J128" s="564"/>
      <c r="K128" s="566"/>
      <c r="L128" s="2147" t="s">
        <v>872</v>
      </c>
      <c r="M128" s="2148"/>
      <c r="N128" s="2149"/>
      <c r="O128" s="2150"/>
      <c r="P128" s="2171">
        <f>SUM(P129+P134)</f>
        <v>1500000000</v>
      </c>
      <c r="Q128" s="1272"/>
      <c r="R128" s="1271"/>
      <c r="S128" s="1272"/>
      <c r="T128" s="1243">
        <f>T129</f>
        <v>1248855842</v>
      </c>
      <c r="U128" s="1213"/>
      <c r="V128" s="1214"/>
    </row>
    <row r="129" spans="2:23" x14ac:dyDescent="0.25">
      <c r="B129" s="486"/>
      <c r="C129" s="487"/>
      <c r="D129" s="487"/>
      <c r="E129" s="1650"/>
      <c r="F129" s="1650"/>
      <c r="G129" s="473"/>
      <c r="H129" s="473"/>
      <c r="I129" s="489"/>
      <c r="J129" s="487"/>
      <c r="K129" s="487"/>
      <c r="L129" s="2151" t="s">
        <v>873</v>
      </c>
      <c r="M129" s="2033"/>
      <c r="N129" s="1982"/>
      <c r="O129" s="2020"/>
      <c r="P129" s="2171">
        <f>SUM(P130:P133)</f>
        <v>600000000</v>
      </c>
      <c r="Q129" s="1270"/>
      <c r="R129" s="1269"/>
      <c r="S129" s="1273"/>
      <c r="T129" s="1237">
        <f>SUM(T130:T131)</f>
        <v>1248855842</v>
      </c>
      <c r="U129" s="1213"/>
      <c r="V129" s="1214"/>
    </row>
    <row r="130" spans="2:23" ht="25" x14ac:dyDescent="0.25">
      <c r="B130" s="510"/>
      <c r="C130" s="506"/>
      <c r="D130" s="506"/>
      <c r="E130" s="2152"/>
      <c r="F130" s="2152"/>
      <c r="G130" s="1763"/>
      <c r="H130" s="1763"/>
      <c r="I130" s="513"/>
      <c r="J130" s="506"/>
      <c r="K130" s="506"/>
      <c r="L130" s="2153" t="s">
        <v>1114</v>
      </c>
      <c r="M130" s="1066">
        <v>1</v>
      </c>
      <c r="N130" s="2154" t="s">
        <v>653</v>
      </c>
      <c r="O130" s="1068">
        <v>56350000</v>
      </c>
      <c r="P130" s="2172">
        <f>O130*M130</f>
        <v>56350000</v>
      </c>
      <c r="Q130" s="1270">
        <v>1</v>
      </c>
      <c r="R130" s="1269" t="s">
        <v>164</v>
      </c>
      <c r="S130" s="1273">
        <v>600000000</v>
      </c>
      <c r="T130" s="1237">
        <f t="shared" ref="T130:T131" si="24">Q130*S130</f>
        <v>600000000</v>
      </c>
      <c r="U130" s="2040"/>
      <c r="V130" s="1196"/>
    </row>
    <row r="131" spans="2:23" ht="25" x14ac:dyDescent="0.25">
      <c r="B131" s="510"/>
      <c r="C131" s="506"/>
      <c r="D131" s="506"/>
      <c r="E131" s="2152"/>
      <c r="F131" s="2152"/>
      <c r="G131" s="1763"/>
      <c r="H131" s="1763"/>
      <c r="I131" s="513"/>
      <c r="J131" s="506"/>
      <c r="K131" s="506"/>
      <c r="L131" s="2155" t="s">
        <v>1115</v>
      </c>
      <c r="M131" s="1066">
        <v>1</v>
      </c>
      <c r="N131" s="2154" t="s">
        <v>653</v>
      </c>
      <c r="O131" s="1068">
        <v>46150000</v>
      </c>
      <c r="P131" s="1594">
        <f>O131*M131</f>
        <v>46150000</v>
      </c>
      <c r="Q131" s="1273">
        <v>1</v>
      </c>
      <c r="R131" s="2034" t="s">
        <v>164</v>
      </c>
      <c r="S131" s="2035">
        <v>648855842</v>
      </c>
      <c r="T131" s="2036">
        <f t="shared" si="24"/>
        <v>648855842</v>
      </c>
      <c r="U131" s="2040"/>
      <c r="V131" s="1196"/>
    </row>
    <row r="132" spans="2:23" x14ac:dyDescent="0.25">
      <c r="B132" s="510"/>
      <c r="C132" s="506"/>
      <c r="D132" s="506"/>
      <c r="E132" s="2152"/>
      <c r="F132" s="2152"/>
      <c r="G132" s="1763"/>
      <c r="H132" s="1763"/>
      <c r="I132" s="513"/>
      <c r="J132" s="506"/>
      <c r="K132" s="506"/>
      <c r="L132" s="2155" t="s">
        <v>1116</v>
      </c>
      <c r="M132" s="1066">
        <v>1</v>
      </c>
      <c r="N132" s="2154" t="s">
        <v>653</v>
      </c>
      <c r="O132" s="1068">
        <v>201030000</v>
      </c>
      <c r="P132" s="1594">
        <f>O132*M132</f>
        <v>201030000</v>
      </c>
      <c r="Q132" s="1270"/>
      <c r="R132" s="2039"/>
      <c r="S132" s="1140"/>
      <c r="T132" s="1217"/>
      <c r="U132" s="2040"/>
      <c r="V132" s="1196"/>
    </row>
    <row r="133" spans="2:23" x14ac:dyDescent="0.25">
      <c r="B133" s="510"/>
      <c r="C133" s="506"/>
      <c r="D133" s="506"/>
      <c r="E133" s="2152"/>
      <c r="F133" s="2152"/>
      <c r="G133" s="1763"/>
      <c r="H133" s="1763"/>
      <c r="I133" s="513"/>
      <c r="J133" s="506"/>
      <c r="K133" s="506"/>
      <c r="L133" s="2156" t="s">
        <v>1117</v>
      </c>
      <c r="M133" s="1066">
        <v>1</v>
      </c>
      <c r="N133" s="2154" t="s">
        <v>653</v>
      </c>
      <c r="O133" s="1068">
        <v>296470000</v>
      </c>
      <c r="P133" s="1594">
        <f t="shared" ref="P133:P138" si="25">O133*M133</f>
        <v>296470000</v>
      </c>
      <c r="Q133" s="1270"/>
      <c r="R133" s="2039"/>
      <c r="S133" s="1140"/>
      <c r="T133" s="1217"/>
      <c r="U133" s="2040"/>
      <c r="V133" s="1196"/>
    </row>
    <row r="134" spans="2:23" x14ac:dyDescent="0.25">
      <c r="B134" s="510"/>
      <c r="C134" s="506"/>
      <c r="D134" s="506"/>
      <c r="E134" s="2152"/>
      <c r="F134" s="2152"/>
      <c r="G134" s="1763"/>
      <c r="H134" s="1763"/>
      <c r="I134" s="513"/>
      <c r="J134" s="506"/>
      <c r="K134" s="506"/>
      <c r="L134" s="2157" t="s">
        <v>874</v>
      </c>
      <c r="M134" s="1066"/>
      <c r="N134" s="2154"/>
      <c r="O134" s="1068"/>
      <c r="P134" s="871">
        <f>SUM(P135:P138)</f>
        <v>900000000</v>
      </c>
      <c r="Q134" s="1270"/>
      <c r="R134" s="2039"/>
      <c r="S134" s="1140"/>
      <c r="T134" s="1217"/>
      <c r="U134" s="2040"/>
      <c r="V134" s="1196"/>
    </row>
    <row r="135" spans="2:23" x14ac:dyDescent="0.25">
      <c r="B135" s="510"/>
      <c r="C135" s="506"/>
      <c r="D135" s="506"/>
      <c r="E135" s="2152"/>
      <c r="F135" s="2152"/>
      <c r="G135" s="1763"/>
      <c r="H135" s="1763"/>
      <c r="I135" s="513"/>
      <c r="J135" s="506"/>
      <c r="K135" s="506"/>
      <c r="L135" s="2155" t="s">
        <v>1118</v>
      </c>
      <c r="M135" s="1066">
        <v>1</v>
      </c>
      <c r="N135" s="2154" t="s">
        <v>653</v>
      </c>
      <c r="O135" s="1068">
        <v>245724000</v>
      </c>
      <c r="P135" s="1594">
        <f t="shared" si="25"/>
        <v>245724000</v>
      </c>
      <c r="Q135" s="1270"/>
      <c r="R135" s="2039"/>
      <c r="S135" s="1140"/>
      <c r="T135" s="1217"/>
      <c r="U135" s="2040"/>
      <c r="V135" s="1196"/>
    </row>
    <row r="136" spans="2:23" x14ac:dyDescent="0.25">
      <c r="B136" s="510"/>
      <c r="C136" s="506"/>
      <c r="D136" s="506"/>
      <c r="E136" s="2152"/>
      <c r="F136" s="2152"/>
      <c r="G136" s="1763"/>
      <c r="H136" s="1763"/>
      <c r="I136" s="513"/>
      <c r="J136" s="506"/>
      <c r="K136" s="506"/>
      <c r="L136" s="2155" t="s">
        <v>1119</v>
      </c>
      <c r="M136" s="1066">
        <v>1</v>
      </c>
      <c r="N136" s="2154" t="s">
        <v>653</v>
      </c>
      <c r="O136" s="1068">
        <v>96040000</v>
      </c>
      <c r="P136" s="1594">
        <f t="shared" si="25"/>
        <v>96040000</v>
      </c>
      <c r="Q136" s="1270"/>
      <c r="R136" s="2039"/>
      <c r="S136" s="1140"/>
      <c r="T136" s="1217"/>
      <c r="U136" s="2040"/>
      <c r="V136" s="1196"/>
    </row>
    <row r="137" spans="2:23" ht="25" x14ac:dyDescent="0.25">
      <c r="B137" s="510"/>
      <c r="C137" s="506"/>
      <c r="D137" s="506"/>
      <c r="E137" s="2152"/>
      <c r="F137" s="2152"/>
      <c r="G137" s="1763"/>
      <c r="H137" s="1763"/>
      <c r="I137" s="513"/>
      <c r="J137" s="506"/>
      <c r="K137" s="506"/>
      <c r="L137" s="2155" t="s">
        <v>1120</v>
      </c>
      <c r="M137" s="2158">
        <v>1</v>
      </c>
      <c r="N137" s="2159" t="s">
        <v>653</v>
      </c>
      <c r="O137" s="1068">
        <v>461513000</v>
      </c>
      <c r="P137" s="2173">
        <f t="shared" si="25"/>
        <v>461513000</v>
      </c>
      <c r="Q137" s="1270"/>
      <c r="R137" s="2039"/>
      <c r="S137" s="1140"/>
      <c r="T137" s="1217"/>
      <c r="U137" s="2040"/>
      <c r="V137" s="1196"/>
    </row>
    <row r="138" spans="2:23" ht="25" x14ac:dyDescent="0.25">
      <c r="B138" s="510"/>
      <c r="C138" s="506"/>
      <c r="D138" s="506"/>
      <c r="E138" s="2152"/>
      <c r="F138" s="2152"/>
      <c r="G138" s="1763"/>
      <c r="H138" s="1763"/>
      <c r="I138" s="513"/>
      <c r="J138" s="506"/>
      <c r="K138" s="506"/>
      <c r="L138" s="826" t="s">
        <v>1121</v>
      </c>
      <c r="M138" s="2158">
        <v>1</v>
      </c>
      <c r="N138" s="2159" t="s">
        <v>653</v>
      </c>
      <c r="O138" s="2160">
        <v>96723000</v>
      </c>
      <c r="P138" s="2173">
        <f t="shared" si="25"/>
        <v>96723000</v>
      </c>
      <c r="Q138" s="1270"/>
      <c r="R138" s="2039"/>
      <c r="S138" s="1140"/>
      <c r="T138" s="1217"/>
      <c r="U138" s="2040"/>
      <c r="V138" s="1196"/>
    </row>
    <row r="139" spans="2:23" x14ac:dyDescent="0.25">
      <c r="B139" s="1133"/>
      <c r="C139" s="1134"/>
      <c r="D139" s="1134"/>
      <c r="E139" s="1135"/>
      <c r="F139" s="1134"/>
      <c r="G139" s="1136"/>
      <c r="H139" s="1136"/>
      <c r="I139" s="1136"/>
      <c r="J139" s="1134"/>
      <c r="K139" s="1134"/>
      <c r="L139" s="468"/>
      <c r="M139" s="2037"/>
      <c r="N139" s="2037"/>
      <c r="O139" s="2038"/>
      <c r="P139" s="968"/>
      <c r="Q139" s="2037"/>
      <c r="R139" s="2037"/>
      <c r="S139" s="2038"/>
      <c r="T139" s="968"/>
      <c r="U139" s="680"/>
      <c r="V139" s="1619"/>
    </row>
    <row r="140" spans="2:23" ht="14.5" thickBot="1" x14ac:dyDescent="0.3">
      <c r="B140" s="2730" t="s">
        <v>15</v>
      </c>
      <c r="C140" s="2731"/>
      <c r="D140" s="2731"/>
      <c r="E140" s="2731"/>
      <c r="F140" s="2731"/>
      <c r="G140" s="2731"/>
      <c r="H140" s="2731"/>
      <c r="I140" s="2731"/>
      <c r="J140" s="2731"/>
      <c r="K140" s="2731"/>
      <c r="L140" s="2731"/>
      <c r="M140" s="2731"/>
      <c r="N140" s="2731"/>
      <c r="O140" s="2731"/>
      <c r="P140" s="436">
        <f>P28</f>
        <v>2363734350</v>
      </c>
      <c r="Q140" s="2915"/>
      <c r="R140" s="2916"/>
      <c r="S140" s="2917"/>
      <c r="T140" s="437">
        <f>T28</f>
        <v>1921938942</v>
      </c>
      <c r="U140" s="1001">
        <f>U28</f>
        <v>-441795408</v>
      </c>
      <c r="V140" s="988">
        <f>U140/P140*100</f>
        <v>-18.690569352685507</v>
      </c>
    </row>
    <row r="141" spans="2:23" ht="13" thickTop="1" x14ac:dyDescent="0.25">
      <c r="B141" s="2918"/>
      <c r="C141" s="2919"/>
      <c r="D141" s="2919"/>
      <c r="E141" s="2919"/>
      <c r="F141" s="2919"/>
      <c r="G141" s="2919"/>
      <c r="H141" s="2919"/>
      <c r="I141" s="2919"/>
      <c r="J141" s="2919"/>
      <c r="K141" s="2919"/>
      <c r="L141" s="2919"/>
      <c r="M141" s="2919"/>
      <c r="N141" s="2919"/>
      <c r="O141" s="2919"/>
      <c r="P141" s="2919"/>
      <c r="Q141" s="2919"/>
      <c r="R141" s="2919"/>
      <c r="S141" s="2919"/>
      <c r="T141" s="2919"/>
      <c r="U141" s="2919"/>
      <c r="V141" s="2920"/>
    </row>
    <row r="142" spans="2:23" ht="12.75" customHeight="1" x14ac:dyDescent="0.25">
      <c r="B142" s="466"/>
      <c r="C142" s="468"/>
      <c r="D142" s="468"/>
      <c r="E142" s="468"/>
      <c r="F142" s="468"/>
      <c r="G142" s="468"/>
      <c r="H142" s="468"/>
      <c r="I142" s="468"/>
      <c r="J142" s="468"/>
      <c r="K142" s="468"/>
      <c r="L142" s="396"/>
      <c r="M142" s="344"/>
      <c r="N142" s="344"/>
      <c r="O142" s="344"/>
      <c r="P142" s="344"/>
      <c r="Q142" s="468"/>
      <c r="R142" s="344"/>
      <c r="S142" s="2921" t="str">
        <f>'Smart UUD40'!S106:U106</f>
        <v>Banda Aceh,               2020</v>
      </c>
      <c r="T142" s="2921"/>
      <c r="U142" s="2921"/>
      <c r="V142" s="936"/>
      <c r="W142" s="100"/>
    </row>
    <row r="143" spans="2:23" x14ac:dyDescent="0.25">
      <c r="B143" s="466"/>
      <c r="C143" s="468"/>
      <c r="D143" s="468"/>
      <c r="E143" s="468"/>
      <c r="F143" s="468"/>
      <c r="G143" s="468"/>
      <c r="H143" s="468"/>
      <c r="I143" s="468"/>
      <c r="J143" s="468"/>
      <c r="K143" s="468"/>
      <c r="L143" s="371" t="str">
        <f>'Smart UUD40'!L107</f>
        <v>Mengesahkan,</v>
      </c>
      <c r="M143" s="344"/>
      <c r="N143" s="344"/>
      <c r="O143" s="344"/>
      <c r="P143" s="344"/>
      <c r="Q143" s="468"/>
      <c r="R143" s="344"/>
      <c r="S143" s="2922" t="str">
        <f>'Smart UUD40'!S107:U107</f>
        <v>Pengguna Anggaran</v>
      </c>
      <c r="T143" s="2922"/>
      <c r="U143" s="2922"/>
      <c r="V143" s="397"/>
      <c r="W143" s="22"/>
    </row>
    <row r="144" spans="2:23" ht="12.75" customHeight="1" x14ac:dyDescent="0.25">
      <c r="B144" s="466"/>
      <c r="C144" s="468"/>
      <c r="D144" s="468"/>
      <c r="E144" s="468"/>
      <c r="F144" s="468"/>
      <c r="G144" s="468"/>
      <c r="H144" s="468"/>
      <c r="I144" s="468"/>
      <c r="J144" s="468"/>
      <c r="K144" s="468"/>
      <c r="L144" s="371" t="str">
        <f>'Smart UUD40'!L108</f>
        <v>Pejabat Pengelola Keuangan Daerah</v>
      </c>
      <c r="M144" s="344"/>
      <c r="N144" s="344"/>
      <c r="O144" s="344"/>
      <c r="P144" s="344"/>
      <c r="Q144" s="468"/>
      <c r="R144" s="344"/>
      <c r="S144" s="2922" t="str">
        <f>'Smart UUD40'!S108:U108</f>
        <v xml:space="preserve"> Satuan Kerja Perangkat Daerah </v>
      </c>
      <c r="T144" s="2922"/>
      <c r="U144" s="2922"/>
      <c r="V144" s="397"/>
      <c r="W144" s="22"/>
    </row>
    <row r="145" spans="2:23" x14ac:dyDescent="0.25">
      <c r="B145" s="466"/>
      <c r="C145" s="468"/>
      <c r="D145" s="468"/>
      <c r="E145" s="468"/>
      <c r="F145" s="468"/>
      <c r="G145" s="468"/>
      <c r="H145" s="468"/>
      <c r="I145" s="468"/>
      <c r="J145" s="468"/>
      <c r="K145" s="468"/>
      <c r="L145" s="394"/>
      <c r="M145" s="344"/>
      <c r="N145" s="344"/>
      <c r="O145" s="344"/>
      <c r="P145" s="344"/>
      <c r="Q145" s="468"/>
      <c r="R145" s="344"/>
      <c r="S145" s="937"/>
      <c r="T145" s="938"/>
      <c r="U145" s="938"/>
      <c r="V145" s="939"/>
      <c r="W145" s="102"/>
    </row>
    <row r="146" spans="2:23" x14ac:dyDescent="0.25">
      <c r="B146" s="466"/>
      <c r="C146" s="468"/>
      <c r="D146" s="468"/>
      <c r="E146" s="468"/>
      <c r="F146" s="468"/>
      <c r="G146" s="468"/>
      <c r="H146" s="468"/>
      <c r="I146" s="468"/>
      <c r="J146" s="468"/>
      <c r="K146" s="468"/>
      <c r="L146" s="394"/>
      <c r="M146" s="344"/>
      <c r="N146" s="344"/>
      <c r="O146" s="344"/>
      <c r="P146" s="344"/>
      <c r="Q146" s="468"/>
      <c r="R146" s="344"/>
      <c r="S146" s="937"/>
      <c r="T146" s="937"/>
      <c r="U146" s="937"/>
      <c r="V146" s="940"/>
      <c r="W146" s="103"/>
    </row>
    <row r="147" spans="2:23" x14ac:dyDescent="0.25">
      <c r="B147" s="466"/>
      <c r="C147" s="468"/>
      <c r="D147" s="468"/>
      <c r="E147" s="468"/>
      <c r="F147" s="468"/>
      <c r="G147" s="468"/>
      <c r="H147" s="468"/>
      <c r="I147" s="468"/>
      <c r="J147" s="468"/>
      <c r="K147" s="468"/>
      <c r="L147" s="941"/>
      <c r="M147" s="344"/>
      <c r="N147" s="344"/>
      <c r="O147" s="344"/>
      <c r="P147" s="344"/>
      <c r="Q147" s="468"/>
      <c r="R147" s="344"/>
      <c r="S147" s="937"/>
      <c r="T147" s="938"/>
      <c r="U147" s="938"/>
      <c r="V147" s="939"/>
      <c r="W147" s="102"/>
    </row>
    <row r="148" spans="2:23" ht="14" x14ac:dyDescent="0.25">
      <c r="B148" s="466"/>
      <c r="C148" s="468"/>
      <c r="D148" s="468"/>
      <c r="E148" s="468"/>
      <c r="F148" s="468"/>
      <c r="G148" s="468"/>
      <c r="H148" s="468"/>
      <c r="I148" s="468"/>
      <c r="J148" s="468"/>
      <c r="K148" s="468"/>
      <c r="L148" s="942" t="str">
        <f>'Smart UUD40'!L112</f>
        <v>M. Iqbal Rokan, S.STP.</v>
      </c>
      <c r="M148" s="344"/>
      <c r="N148" s="344"/>
      <c r="O148" s="344"/>
      <c r="P148" s="344"/>
      <c r="Q148" s="468"/>
      <c r="R148" s="344"/>
      <c r="S148" s="2923" t="str">
        <f>'Smart UUD40'!S112:U112</f>
        <v>Bustami, SH</v>
      </c>
      <c r="T148" s="2923"/>
      <c r="U148" s="2923"/>
      <c r="V148" s="400"/>
      <c r="W148" s="104"/>
    </row>
    <row r="149" spans="2:23" x14ac:dyDescent="0.25">
      <c r="B149" s="466"/>
      <c r="C149" s="468"/>
      <c r="D149" s="468"/>
      <c r="E149" s="468"/>
      <c r="F149" s="468"/>
      <c r="G149" s="468"/>
      <c r="H149" s="468"/>
      <c r="I149" s="468"/>
      <c r="J149" s="468"/>
      <c r="K149" s="468"/>
      <c r="L149" s="371" t="str">
        <f>'Smart UUD40'!L113</f>
        <v>Nip. 19780505 199810 1 001</v>
      </c>
      <c r="M149" s="344"/>
      <c r="N149" s="344"/>
      <c r="O149" s="344"/>
      <c r="P149" s="344"/>
      <c r="Q149" s="468"/>
      <c r="R149" s="344"/>
      <c r="S149" s="2922" t="str">
        <f>'Smart UUD40'!S113:U113</f>
        <v>Pembina Utama Muda / Nip. 196308241987031004</v>
      </c>
      <c r="T149" s="2922"/>
      <c r="U149" s="2922"/>
      <c r="V149" s="397"/>
      <c r="W149" s="22"/>
    </row>
    <row r="150" spans="2:23" x14ac:dyDescent="0.25">
      <c r="B150" s="466"/>
      <c r="C150" s="468"/>
      <c r="D150" s="468"/>
      <c r="E150" s="468"/>
      <c r="F150" s="468"/>
      <c r="G150" s="468"/>
      <c r="H150" s="468"/>
      <c r="I150" s="468"/>
      <c r="J150" s="468"/>
      <c r="K150" s="468"/>
      <c r="L150" s="371"/>
      <c r="M150" s="344"/>
      <c r="N150" s="344"/>
      <c r="O150" s="344"/>
      <c r="P150" s="344"/>
      <c r="Q150" s="468"/>
      <c r="R150" s="344"/>
      <c r="S150" s="371"/>
      <c r="T150" s="371"/>
      <c r="U150" s="371"/>
      <c r="V150" s="943"/>
      <c r="W150" s="21"/>
    </row>
    <row r="151" spans="2:23" ht="14.25" customHeight="1" x14ac:dyDescent="0.25">
      <c r="B151" s="2705" t="s">
        <v>286</v>
      </c>
      <c r="C151" s="2706"/>
      <c r="D151" s="2706"/>
      <c r="E151" s="2706"/>
      <c r="F151" s="2706"/>
      <c r="G151" s="2706"/>
      <c r="H151" s="2706"/>
      <c r="I151" s="2706"/>
      <c r="J151" s="2706"/>
      <c r="K151" s="2706"/>
      <c r="L151" s="2706"/>
      <c r="M151" s="2707" t="s">
        <v>145</v>
      </c>
      <c r="N151" s="2708"/>
      <c r="O151" s="2708"/>
      <c r="P151" s="2708"/>
      <c r="Q151" s="2708"/>
      <c r="R151" s="2708"/>
      <c r="S151" s="2708"/>
      <c r="T151" s="2708"/>
      <c r="U151" s="2708"/>
      <c r="V151" s="2709"/>
    </row>
    <row r="152" spans="2:23" ht="14.25" customHeight="1" x14ac:dyDescent="0.25">
      <c r="B152" s="2893"/>
      <c r="C152" s="2894"/>
      <c r="D152" s="2894"/>
      <c r="E152" s="2894"/>
      <c r="F152" s="2894"/>
      <c r="G152" s="2894"/>
      <c r="H152" s="2894"/>
      <c r="I152" s="2894"/>
      <c r="J152" s="2894"/>
      <c r="K152" s="2894"/>
      <c r="L152" s="2895"/>
      <c r="M152" s="418" t="s">
        <v>142</v>
      </c>
      <c r="N152" s="2747"/>
      <c r="O152" s="2747"/>
      <c r="P152" s="2747"/>
      <c r="Q152" s="2746" t="s">
        <v>143</v>
      </c>
      <c r="R152" s="2746"/>
      <c r="S152" s="2746"/>
      <c r="T152" s="417" t="s">
        <v>144</v>
      </c>
      <c r="U152" s="2746" t="s">
        <v>146</v>
      </c>
      <c r="V152" s="2748"/>
    </row>
    <row r="153" spans="2:23" ht="14.25" customHeight="1" x14ac:dyDescent="0.25">
      <c r="B153" s="2907" t="s">
        <v>293</v>
      </c>
      <c r="C153" s="2908"/>
      <c r="D153" s="2908"/>
      <c r="E153" s="2908"/>
      <c r="F153" s="2908"/>
      <c r="G153" s="2908"/>
      <c r="H153" s="2908"/>
      <c r="I153" s="2908"/>
      <c r="J153" s="2908"/>
      <c r="K153" s="2908"/>
      <c r="L153" s="944">
        <v>0</v>
      </c>
      <c r="M153" s="945">
        <v>1</v>
      </c>
      <c r="N153" s="2896" t="str">
        <f>'Smart UUD40'!N117:P117</f>
        <v>Weri, SE. MA</v>
      </c>
      <c r="O153" s="2897"/>
      <c r="P153" s="2897"/>
      <c r="Q153" s="2898" t="str">
        <f>'Smart UUD40'!Q117:S117</f>
        <v>19640525 198903 1 026</v>
      </c>
      <c r="R153" s="2563"/>
      <c r="S153" s="2564"/>
      <c r="T153" s="946" t="s">
        <v>302</v>
      </c>
      <c r="U153" s="947" t="s">
        <v>287</v>
      </c>
      <c r="V153" s="451"/>
    </row>
    <row r="154" spans="2:23" ht="14" x14ac:dyDescent="0.25">
      <c r="B154" s="2907" t="s">
        <v>294</v>
      </c>
      <c r="C154" s="2908"/>
      <c r="D154" s="2908"/>
      <c r="E154" s="2908"/>
      <c r="F154" s="2908"/>
      <c r="G154" s="2908"/>
      <c r="H154" s="2908"/>
      <c r="I154" s="2908"/>
      <c r="J154" s="2908"/>
      <c r="K154" s="2908"/>
      <c r="L154" s="944">
        <v>0</v>
      </c>
      <c r="M154" s="945">
        <v>2</v>
      </c>
      <c r="N154" s="2909" t="str">
        <f>'Smart UUD40'!N118:P118</f>
        <v>Azmi, SH</v>
      </c>
      <c r="O154" s="2706"/>
      <c r="P154" s="2706"/>
      <c r="Q154" s="2898" t="str">
        <f>'Smart UUD40'!Q118:S118</f>
        <v>19680824 199903 1 004</v>
      </c>
      <c r="R154" s="2563"/>
      <c r="S154" s="2564"/>
      <c r="T154" s="946" t="s">
        <v>303</v>
      </c>
      <c r="U154" s="450"/>
      <c r="V154" s="948" t="s">
        <v>128</v>
      </c>
    </row>
    <row r="155" spans="2:23" ht="14" x14ac:dyDescent="0.25">
      <c r="B155" s="2907" t="s">
        <v>295</v>
      </c>
      <c r="C155" s="2908"/>
      <c r="D155" s="2908"/>
      <c r="E155" s="2908"/>
      <c r="F155" s="2908"/>
      <c r="G155" s="2908"/>
      <c r="H155" s="2908"/>
      <c r="I155" s="2908"/>
      <c r="J155" s="2908"/>
      <c r="K155" s="2908"/>
      <c r="L155" s="944">
        <v>0</v>
      </c>
      <c r="M155" s="949">
        <v>3</v>
      </c>
      <c r="N155" s="2909" t="str">
        <f>'Smart UUD40'!N119:P119</f>
        <v>Muhammad Syaifuddin Ambia, ST, MT</v>
      </c>
      <c r="O155" s="2706"/>
      <c r="P155" s="2706"/>
      <c r="Q155" s="2898" t="str">
        <f>'Smart UUD40'!Q119:S119</f>
        <v>19741010 200604 1 003</v>
      </c>
      <c r="R155" s="2563"/>
      <c r="S155" s="2564"/>
      <c r="T155" s="946" t="s">
        <v>304</v>
      </c>
      <c r="U155" s="950" t="s">
        <v>292</v>
      </c>
      <c r="V155" s="451"/>
    </row>
    <row r="156" spans="2:23" ht="15" customHeight="1" x14ac:dyDescent="0.25">
      <c r="B156" s="2907" t="s">
        <v>296</v>
      </c>
      <c r="C156" s="2908"/>
      <c r="D156" s="2908"/>
      <c r="E156" s="2908"/>
      <c r="F156" s="2908"/>
      <c r="G156" s="2908"/>
      <c r="H156" s="2908"/>
      <c r="I156" s="2908"/>
      <c r="J156" s="2908"/>
      <c r="K156" s="2908"/>
      <c r="L156" s="944">
        <v>0</v>
      </c>
      <c r="M156" s="945">
        <v>4</v>
      </c>
      <c r="N156" s="2909" t="str">
        <f>'Smart UUD40'!N120:P120</f>
        <v>Basri, SE, M.Si</v>
      </c>
      <c r="O156" s="2706"/>
      <c r="P156" s="2706"/>
      <c r="Q156" s="2898" t="str">
        <f>'Smart UUD40'!Q120:S120</f>
        <v>19691213 199403 1 002</v>
      </c>
      <c r="R156" s="2563"/>
      <c r="S156" s="2564"/>
      <c r="T156" s="946" t="s">
        <v>305</v>
      </c>
      <c r="U156" s="450"/>
      <c r="V156" s="948" t="s">
        <v>288</v>
      </c>
    </row>
    <row r="157" spans="2:23" ht="14" x14ac:dyDescent="0.25">
      <c r="B157" s="2907" t="s">
        <v>297</v>
      </c>
      <c r="C157" s="2908"/>
      <c r="D157" s="2908"/>
      <c r="E157" s="2908"/>
      <c r="F157" s="2908"/>
      <c r="G157" s="2908"/>
      <c r="H157" s="2908"/>
      <c r="I157" s="2908"/>
      <c r="J157" s="2908"/>
      <c r="K157" s="2908"/>
      <c r="L157" s="951">
        <f>SUM(L153:L156)</f>
        <v>0</v>
      </c>
      <c r="M157" s="952">
        <v>5</v>
      </c>
      <c r="N157" s="2909" t="str">
        <f>'Smart UUD40'!N121:P121</f>
        <v>Dewi Shinta Reza, SE. Ak</v>
      </c>
      <c r="O157" s="2706"/>
      <c r="P157" s="2706"/>
      <c r="Q157" s="2898" t="str">
        <f>'Smart UUD40'!Q121:S121</f>
        <v>19750630 200212 2 003</v>
      </c>
      <c r="R157" s="2563"/>
      <c r="S157" s="2564"/>
      <c r="T157" s="946" t="s">
        <v>306</v>
      </c>
      <c r="U157" s="950" t="s">
        <v>289</v>
      </c>
      <c r="V157" s="451"/>
    </row>
    <row r="158" spans="2:23" ht="13.5" customHeight="1" x14ac:dyDescent="0.25">
      <c r="B158" s="2893"/>
      <c r="C158" s="2894"/>
      <c r="D158" s="2894"/>
      <c r="E158" s="2894"/>
      <c r="F158" s="2894"/>
      <c r="G158" s="2894"/>
      <c r="H158" s="2894"/>
      <c r="I158" s="2894"/>
      <c r="J158" s="2894"/>
      <c r="K158" s="2894"/>
      <c r="L158" s="2895"/>
      <c r="M158" s="952">
        <v>6</v>
      </c>
      <c r="N158" s="2896" t="str">
        <f>'Smart UUD40'!N122:P122</f>
        <v>Harisman, S.STP, M.Ec.Dev</v>
      </c>
      <c r="O158" s="2897"/>
      <c r="P158" s="2897"/>
      <c r="Q158" s="2898" t="str">
        <f>'Smart UUD40'!Q122:S122</f>
        <v>19830101 200112 1 003</v>
      </c>
      <c r="R158" s="2563"/>
      <c r="S158" s="2564"/>
      <c r="T158" s="946" t="s">
        <v>307</v>
      </c>
      <c r="U158" s="450"/>
      <c r="V158" s="948" t="s">
        <v>290</v>
      </c>
    </row>
    <row r="159" spans="2:23" ht="14.5" thickBot="1" x14ac:dyDescent="0.3">
      <c r="B159" s="2899"/>
      <c r="C159" s="2900"/>
      <c r="D159" s="2900"/>
      <c r="E159" s="2900"/>
      <c r="F159" s="2900"/>
      <c r="G159" s="2900"/>
      <c r="H159" s="2900"/>
      <c r="I159" s="2900"/>
      <c r="J159" s="2900"/>
      <c r="K159" s="2900"/>
      <c r="L159" s="2901"/>
      <c r="M159" s="953">
        <v>7</v>
      </c>
      <c r="N159" s="2902" t="str">
        <f>'Smart UUD40'!N123:P123</f>
        <v>Alriandi, S.STP, M.Si</v>
      </c>
      <c r="O159" s="2903"/>
      <c r="P159" s="2903"/>
      <c r="Q159" s="2904" t="str">
        <f>'Smart UUD40'!Q123:S123</f>
        <v>19830308 200112 1 001</v>
      </c>
      <c r="R159" s="2905"/>
      <c r="S159" s="2906"/>
      <c r="T159" s="954" t="s">
        <v>308</v>
      </c>
      <c r="U159" s="955" t="s">
        <v>291</v>
      </c>
      <c r="V159" s="956"/>
    </row>
    <row r="160" spans="2:23" ht="13" thickTop="1" x14ac:dyDescent="0.25">
      <c r="B160" s="342"/>
      <c r="C160" s="342"/>
      <c r="D160" s="342"/>
      <c r="E160" s="342"/>
      <c r="F160" s="342"/>
      <c r="G160" s="342"/>
      <c r="H160" s="342"/>
      <c r="I160" s="342"/>
      <c r="J160" s="342"/>
      <c r="K160" s="342"/>
      <c r="L160" s="342"/>
      <c r="M160" s="342"/>
      <c r="N160" s="342"/>
      <c r="O160" s="342"/>
      <c r="P160" s="342"/>
    </row>
    <row r="161" spans="2:16" x14ac:dyDescent="0.25">
      <c r="B161" s="342"/>
      <c r="C161" s="342"/>
      <c r="D161" s="342"/>
      <c r="E161" s="342"/>
      <c r="F161" s="342"/>
      <c r="G161" s="342"/>
      <c r="H161" s="342"/>
      <c r="I161" s="342"/>
      <c r="J161" s="342"/>
      <c r="K161" s="342"/>
      <c r="L161" s="342"/>
      <c r="M161" s="342"/>
      <c r="N161" s="342"/>
      <c r="O161" s="342"/>
      <c r="P161" s="342"/>
    </row>
    <row r="162" spans="2:16" x14ac:dyDescent="0.25">
      <c r="B162" s="342"/>
      <c r="C162" s="342"/>
      <c r="D162" s="342"/>
      <c r="E162" s="342"/>
      <c r="F162" s="342"/>
      <c r="G162" s="342"/>
      <c r="H162" s="342"/>
      <c r="I162" s="342"/>
      <c r="J162" s="342"/>
      <c r="K162" s="342"/>
      <c r="L162" s="342"/>
      <c r="M162" s="342"/>
      <c r="N162" s="342"/>
      <c r="O162" s="342"/>
      <c r="P162" s="342"/>
    </row>
    <row r="163" spans="2:16" x14ac:dyDescent="0.25">
      <c r="B163" s="342"/>
      <c r="C163" s="342"/>
      <c r="D163" s="342"/>
      <c r="E163" s="342"/>
      <c r="F163" s="342"/>
      <c r="G163" s="342"/>
      <c r="H163" s="342"/>
      <c r="I163" s="342"/>
      <c r="J163" s="342"/>
      <c r="K163" s="342"/>
      <c r="L163" s="342"/>
      <c r="M163" s="342"/>
      <c r="N163" s="342"/>
      <c r="O163" s="342"/>
      <c r="P163" s="342"/>
    </row>
    <row r="164" spans="2:16" x14ac:dyDescent="0.25">
      <c r="B164" s="342"/>
      <c r="C164" s="342"/>
      <c r="D164" s="342"/>
      <c r="E164" s="342"/>
      <c r="F164" s="342"/>
      <c r="G164" s="342"/>
      <c r="H164" s="342"/>
      <c r="I164" s="342"/>
      <c r="J164" s="342"/>
      <c r="K164" s="342"/>
      <c r="L164" s="342"/>
      <c r="M164" s="342"/>
      <c r="N164" s="342"/>
      <c r="O164" s="342"/>
      <c r="P164" s="342"/>
    </row>
    <row r="165" spans="2:16" x14ac:dyDescent="0.25">
      <c r="B165" s="342"/>
      <c r="C165" s="342"/>
      <c r="D165" s="342"/>
      <c r="E165" s="342"/>
      <c r="F165" s="342"/>
      <c r="G165" s="342"/>
      <c r="H165" s="342"/>
      <c r="I165" s="342"/>
      <c r="J165" s="342"/>
      <c r="K165" s="342"/>
      <c r="L165" s="342"/>
      <c r="M165" s="342"/>
      <c r="N165" s="342"/>
      <c r="O165" s="342"/>
      <c r="P165" s="342"/>
    </row>
    <row r="166" spans="2:16" x14ac:dyDescent="0.25">
      <c r="B166" s="342"/>
      <c r="C166" s="342"/>
      <c r="D166" s="342"/>
      <c r="E166" s="342"/>
      <c r="F166" s="342"/>
      <c r="G166" s="342"/>
      <c r="H166" s="342"/>
      <c r="I166" s="342"/>
      <c r="J166" s="342"/>
      <c r="K166" s="342"/>
      <c r="L166" s="342"/>
      <c r="M166" s="342"/>
      <c r="N166" s="342"/>
      <c r="O166" s="342"/>
      <c r="P166" s="342"/>
    </row>
    <row r="167" spans="2:16" x14ac:dyDescent="0.25">
      <c r="B167" s="342"/>
      <c r="C167" s="342"/>
      <c r="D167" s="342"/>
      <c r="E167" s="342"/>
      <c r="F167" s="342"/>
      <c r="G167" s="342"/>
      <c r="H167" s="342"/>
      <c r="I167" s="342"/>
      <c r="J167" s="342"/>
      <c r="K167" s="342"/>
      <c r="L167" s="342"/>
      <c r="M167" s="342"/>
      <c r="N167" s="342"/>
      <c r="O167" s="342"/>
      <c r="P167" s="342"/>
    </row>
    <row r="168" spans="2:16" x14ac:dyDescent="0.25">
      <c r="B168" s="342"/>
      <c r="C168" s="342"/>
      <c r="D168" s="342"/>
      <c r="E168" s="342"/>
      <c r="F168" s="342"/>
      <c r="G168" s="342"/>
      <c r="H168" s="342"/>
      <c r="I168" s="342"/>
      <c r="J168" s="342"/>
      <c r="K168" s="342"/>
      <c r="L168" s="342"/>
      <c r="M168" s="342"/>
      <c r="N168" s="342"/>
      <c r="O168" s="342"/>
      <c r="P168" s="342"/>
    </row>
    <row r="169" spans="2:16" x14ac:dyDescent="0.25">
      <c r="B169" s="342"/>
      <c r="C169" s="342"/>
      <c r="D169" s="342"/>
      <c r="E169" s="342"/>
      <c r="F169" s="342"/>
      <c r="G169" s="342"/>
      <c r="H169" s="342"/>
      <c r="I169" s="342"/>
      <c r="J169" s="342"/>
      <c r="K169" s="342"/>
      <c r="L169" s="342"/>
      <c r="M169" s="342"/>
      <c r="N169" s="342"/>
      <c r="O169" s="342"/>
      <c r="P169" s="342"/>
    </row>
    <row r="170" spans="2:16" x14ac:dyDescent="0.25">
      <c r="B170" s="342"/>
      <c r="C170" s="342"/>
      <c r="D170" s="342"/>
      <c r="E170" s="342"/>
      <c r="F170" s="342"/>
      <c r="G170" s="342"/>
      <c r="H170" s="342"/>
      <c r="I170" s="342"/>
      <c r="J170" s="342"/>
      <c r="K170" s="342"/>
      <c r="L170" s="342"/>
      <c r="M170" s="342"/>
      <c r="N170" s="342"/>
      <c r="O170" s="342"/>
      <c r="P170" s="342"/>
    </row>
    <row r="171" spans="2:16" x14ac:dyDescent="0.25">
      <c r="B171" s="342"/>
      <c r="C171" s="342"/>
      <c r="D171" s="342"/>
      <c r="E171" s="342"/>
      <c r="F171" s="342"/>
      <c r="G171" s="342"/>
      <c r="H171" s="342"/>
      <c r="I171" s="342"/>
      <c r="J171" s="342"/>
      <c r="K171" s="342"/>
      <c r="L171" s="342"/>
      <c r="M171" s="342"/>
      <c r="N171" s="342"/>
      <c r="O171" s="342"/>
      <c r="P171" s="342"/>
    </row>
    <row r="172" spans="2:16" x14ac:dyDescent="0.25">
      <c r="B172" s="342"/>
      <c r="C172" s="342"/>
      <c r="D172" s="342"/>
      <c r="E172" s="342"/>
      <c r="F172" s="342"/>
      <c r="G172" s="342"/>
      <c r="H172" s="342"/>
      <c r="I172" s="342"/>
      <c r="J172" s="342"/>
      <c r="K172" s="342"/>
      <c r="L172" s="342"/>
      <c r="M172" s="342"/>
      <c r="N172" s="342"/>
      <c r="O172" s="342"/>
      <c r="P172" s="342"/>
    </row>
    <row r="173" spans="2:16" x14ac:dyDescent="0.25">
      <c r="B173" s="342"/>
      <c r="C173" s="342"/>
      <c r="D173" s="342"/>
      <c r="E173" s="342"/>
      <c r="F173" s="342"/>
      <c r="G173" s="342"/>
      <c r="H173" s="342"/>
      <c r="I173" s="342"/>
      <c r="J173" s="342"/>
      <c r="K173" s="342"/>
      <c r="L173" s="342"/>
      <c r="M173" s="342"/>
      <c r="N173" s="342"/>
      <c r="O173" s="342"/>
      <c r="P173" s="342"/>
    </row>
    <row r="174" spans="2:16" x14ac:dyDescent="0.25">
      <c r="B174" s="342"/>
      <c r="C174" s="342"/>
      <c r="D174" s="342"/>
      <c r="E174" s="342"/>
      <c r="F174" s="342"/>
      <c r="G174" s="342"/>
      <c r="H174" s="342"/>
      <c r="I174" s="342"/>
      <c r="J174" s="342"/>
      <c r="K174" s="342"/>
      <c r="L174" s="342"/>
      <c r="M174" s="342"/>
      <c r="N174" s="342"/>
      <c r="O174" s="342"/>
      <c r="P174" s="342"/>
    </row>
    <row r="175" spans="2:16" x14ac:dyDescent="0.25">
      <c r="B175" s="342"/>
      <c r="C175" s="342"/>
      <c r="D175" s="342"/>
      <c r="E175" s="342"/>
      <c r="F175" s="342"/>
      <c r="G175" s="342"/>
      <c r="H175" s="342"/>
      <c r="I175" s="342"/>
      <c r="J175" s="342"/>
      <c r="K175" s="342"/>
      <c r="L175" s="342"/>
      <c r="M175" s="342"/>
      <c r="N175" s="342"/>
      <c r="O175" s="342"/>
      <c r="P175" s="342"/>
    </row>
    <row r="176" spans="2:16" x14ac:dyDescent="0.25">
      <c r="B176" s="342"/>
      <c r="C176" s="342"/>
      <c r="D176" s="342"/>
      <c r="E176" s="342"/>
      <c r="F176" s="342"/>
      <c r="G176" s="342"/>
      <c r="H176" s="342"/>
      <c r="I176" s="342"/>
      <c r="J176" s="342"/>
      <c r="K176" s="342"/>
      <c r="L176" s="342"/>
      <c r="M176" s="342"/>
      <c r="N176" s="342"/>
      <c r="O176" s="342"/>
      <c r="P176"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51:L151"/>
    <mergeCell ref="M151:V151"/>
    <mergeCell ref="B27:K27"/>
    <mergeCell ref="B140:O140"/>
    <mergeCell ref="Q140:S140"/>
    <mergeCell ref="B141:V141"/>
    <mergeCell ref="S142:U142"/>
    <mergeCell ref="S143:U143"/>
    <mergeCell ref="S144:U144"/>
    <mergeCell ref="S148:U148"/>
    <mergeCell ref="S149:U149"/>
    <mergeCell ref="B152:L152"/>
    <mergeCell ref="N152:P152"/>
    <mergeCell ref="Q152:S152"/>
    <mergeCell ref="U152:V152"/>
    <mergeCell ref="B153:K153"/>
    <mergeCell ref="N153:P153"/>
    <mergeCell ref="Q153:S153"/>
    <mergeCell ref="B154:K154"/>
    <mergeCell ref="N154:P154"/>
    <mergeCell ref="Q154:S154"/>
    <mergeCell ref="B155:K155"/>
    <mergeCell ref="N155:P155"/>
    <mergeCell ref="Q155:S155"/>
    <mergeCell ref="B156:K156"/>
    <mergeCell ref="N156:P156"/>
    <mergeCell ref="Q156:S156"/>
    <mergeCell ref="B157:K157"/>
    <mergeCell ref="N157:P157"/>
    <mergeCell ref="Q157:S157"/>
    <mergeCell ref="B158:L158"/>
    <mergeCell ref="N158:P158"/>
    <mergeCell ref="Q158:S158"/>
    <mergeCell ref="B159:L159"/>
    <mergeCell ref="N159:P159"/>
    <mergeCell ref="Q159:S159"/>
  </mergeCells>
  <pageMargins left="0.511811023622047" right="1.0255905510000001" top="0.511811023622047" bottom="0.25" header="0.31496062992126" footer="0.31496062992126"/>
  <pageSetup paperSize="5" scale="58" orientation="landscape" horizontalDpi="4294967293" verticalDpi="4294967293" r:id="rId1"/>
  <rowBreaks count="3" manualBreakCount="3">
    <brk id="54" min="1" max="21" man="1"/>
    <brk id="106" min="1" max="21" man="1"/>
    <brk id="149" min="1" max="21"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1:AE202"/>
  <sheetViews>
    <sheetView view="pageBreakPreview" topLeftCell="A100" zoomScale="75" zoomScaleNormal="70" zoomScaleSheetLayoutView="100" workbookViewId="0">
      <selection activeCell="T78" sqref="T78"/>
    </sheetView>
  </sheetViews>
  <sheetFormatPr defaultColWidth="8.7265625" defaultRowHeight="12.5" x14ac:dyDescent="0.25"/>
  <cols>
    <col min="1" max="1" width="4.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3" style="341" customWidth="1"/>
    <col min="17" max="17" width="9" style="341" customWidth="1"/>
    <col min="18" max="18" width="8" style="341" customWidth="1"/>
    <col min="19" max="19" width="15.1796875" style="341" customWidth="1"/>
    <col min="20" max="20" width="23.269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965" t="s">
        <v>313</v>
      </c>
      <c r="T3" s="2966"/>
      <c r="U3" s="2653"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'E-Gov Infrastruktur'!B5:V5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973"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974"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975" t="s">
        <v>148</v>
      </c>
      <c r="M8" s="2948" t="s">
        <v>279</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208</v>
      </c>
      <c r="M9" s="2868" t="s">
        <v>209</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'E-Gov Infrastruktur'!M10:V10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90</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941"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418" t="s">
        <v>270</v>
      </c>
      <c r="M15" s="2945" t="s">
        <v>281</v>
      </c>
      <c r="N15" s="2943"/>
      <c r="O15" s="2943"/>
      <c r="P15" s="2946"/>
      <c r="Q15" s="2747" t="s">
        <v>270</v>
      </c>
      <c r="R15" s="2747"/>
      <c r="S15" s="2747"/>
      <c r="T15" s="2747" t="s">
        <v>281</v>
      </c>
      <c r="U15" s="2747"/>
      <c r="V15" s="2947"/>
      <c r="W15" s="520"/>
    </row>
    <row r="16" spans="2:24" ht="26.5" customHeight="1" x14ac:dyDescent="0.25">
      <c r="B16" s="2834" t="s">
        <v>14</v>
      </c>
      <c r="C16" s="2835"/>
      <c r="D16" s="2835"/>
      <c r="E16" s="2835"/>
      <c r="F16" s="2835"/>
      <c r="G16" s="2835"/>
      <c r="H16" s="2835"/>
      <c r="I16" s="2835"/>
      <c r="J16" s="2835"/>
      <c r="K16" s="2836"/>
      <c r="L16" s="811" t="s">
        <v>464</v>
      </c>
      <c r="M16" s="2507" t="s">
        <v>508</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36"/>
      <c r="L17" s="811" t="s">
        <v>430</v>
      </c>
      <c r="M17" s="2933" t="s">
        <v>430</v>
      </c>
      <c r="N17" s="2933"/>
      <c r="O17" s="2933"/>
      <c r="P17" s="2933"/>
      <c r="Q17" s="2934">
        <f>P28</f>
        <v>388894860</v>
      </c>
      <c r="R17" s="2935"/>
      <c r="S17" s="2936"/>
      <c r="T17" s="2937">
        <f>T28</f>
        <v>313577430</v>
      </c>
      <c r="U17" s="2937"/>
      <c r="V17" s="2938"/>
    </row>
    <row r="18" spans="2:22" ht="27" customHeight="1" x14ac:dyDescent="0.25">
      <c r="B18" s="2834" t="s">
        <v>136</v>
      </c>
      <c r="C18" s="2835"/>
      <c r="D18" s="2835"/>
      <c r="E18" s="2835"/>
      <c r="F18" s="2835"/>
      <c r="G18" s="2835"/>
      <c r="H18" s="2835"/>
      <c r="I18" s="2835"/>
      <c r="J18" s="2835"/>
      <c r="K18" s="2836"/>
      <c r="L18" s="811" t="s">
        <v>515</v>
      </c>
      <c r="M18" s="2875" t="s">
        <v>515</v>
      </c>
      <c r="N18" s="2875"/>
      <c r="O18" s="2875"/>
      <c r="P18" s="2875"/>
      <c r="Q18" s="2616" t="s">
        <v>516</v>
      </c>
      <c r="R18" s="2616"/>
      <c r="S18" s="2616"/>
      <c r="T18" s="2616" t="s">
        <v>516</v>
      </c>
      <c r="U18" s="2616"/>
      <c r="V18" s="2837"/>
    </row>
    <row r="19" spans="2:22" ht="14" x14ac:dyDescent="0.25">
      <c r="B19" s="2834" t="s">
        <v>137</v>
      </c>
      <c r="C19" s="2835"/>
      <c r="D19" s="2835"/>
      <c r="E19" s="2835"/>
      <c r="F19" s="2835"/>
      <c r="G19" s="2835"/>
      <c r="H19" s="2835"/>
      <c r="I19" s="2835"/>
      <c r="J19" s="2835"/>
      <c r="K19" s="2836"/>
      <c r="L19" s="811" t="s">
        <v>517</v>
      </c>
      <c r="M19" s="2875" t="s">
        <v>517</v>
      </c>
      <c r="N19" s="2875"/>
      <c r="O19" s="2875"/>
      <c r="P19" s="2875"/>
      <c r="Q19" s="2830">
        <v>0.05</v>
      </c>
      <c r="R19" s="2616"/>
      <c r="S19" s="2616"/>
      <c r="T19" s="2830">
        <v>0.05</v>
      </c>
      <c r="U19" s="2616"/>
      <c r="V19" s="2837"/>
    </row>
    <row r="20" spans="2:22" ht="14.25" customHeight="1" x14ac:dyDescent="0.25">
      <c r="B20" s="2931" t="s">
        <v>465</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468"/>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411" t="s">
        <v>122</v>
      </c>
      <c r="Q24" s="2690" t="s">
        <v>127</v>
      </c>
      <c r="R24" s="2693" t="s">
        <v>8</v>
      </c>
      <c r="S24" s="2693"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411"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10"/>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983" t="s">
        <v>7</v>
      </c>
      <c r="Q27" s="984">
        <v>7</v>
      </c>
      <c r="R27" s="984">
        <v>8</v>
      </c>
      <c r="S27" s="985">
        <v>9</v>
      </c>
      <c r="T27" s="986" t="s">
        <v>275</v>
      </c>
      <c r="U27" s="415" t="s">
        <v>274</v>
      </c>
      <c r="V27" s="1109">
        <v>12</v>
      </c>
    </row>
    <row r="28" spans="2:22" ht="13" thickTop="1" x14ac:dyDescent="0.25">
      <c r="B28" s="1934">
        <v>1</v>
      </c>
      <c r="C28" s="1935" t="s">
        <v>239</v>
      </c>
      <c r="D28" s="1935" t="s">
        <v>84</v>
      </c>
      <c r="E28" s="1936"/>
      <c r="F28" s="1376"/>
      <c r="G28" s="601">
        <v>5</v>
      </c>
      <c r="H28" s="601">
        <v>2</v>
      </c>
      <c r="I28" s="1923"/>
      <c r="J28" s="1937"/>
      <c r="K28" s="1937"/>
      <c r="L28" s="2188" t="s">
        <v>54</v>
      </c>
      <c r="M28" s="2189"/>
      <c r="N28" s="2190"/>
      <c r="O28" s="2190"/>
      <c r="P28" s="2265">
        <f>P29</f>
        <v>388894860</v>
      </c>
      <c r="Q28" s="2247"/>
      <c r="R28" s="1280"/>
      <c r="S28" s="1280"/>
      <c r="T28" s="1281">
        <f>T29</f>
        <v>313577430</v>
      </c>
      <c r="U28" s="1191">
        <f>SUM(T28)-P28</f>
        <v>-75317430</v>
      </c>
      <c r="V28" s="1192"/>
    </row>
    <row r="29" spans="2:22" ht="25" x14ac:dyDescent="0.25">
      <c r="B29" s="1101">
        <v>1</v>
      </c>
      <c r="C29" s="1102" t="s">
        <v>239</v>
      </c>
      <c r="D29" s="1102" t="s">
        <v>84</v>
      </c>
      <c r="E29" s="826">
        <v>15</v>
      </c>
      <c r="F29" s="827"/>
      <c r="G29" s="1075"/>
      <c r="H29" s="1075"/>
      <c r="I29" s="1075"/>
      <c r="J29" s="1938"/>
      <c r="K29" s="1938"/>
      <c r="L29" s="2191" t="s">
        <v>447</v>
      </c>
      <c r="M29" s="2192"/>
      <c r="N29" s="1941"/>
      <c r="O29" s="1941"/>
      <c r="P29" s="1188">
        <f>SUM(P30)</f>
        <v>388894860</v>
      </c>
      <c r="Q29" s="2248"/>
      <c r="R29" s="1175"/>
      <c r="S29" s="1175"/>
      <c r="T29" s="1188">
        <f>T30</f>
        <v>313577430</v>
      </c>
      <c r="U29" s="1193"/>
      <c r="V29" s="1194"/>
    </row>
    <row r="30" spans="2:22" ht="27.65" customHeight="1" x14ac:dyDescent="0.25">
      <c r="B30" s="654">
        <v>1</v>
      </c>
      <c r="C30" s="564" t="s">
        <v>239</v>
      </c>
      <c r="D30" s="564" t="s">
        <v>84</v>
      </c>
      <c r="E30" s="827">
        <v>15</v>
      </c>
      <c r="F30" s="798" t="s">
        <v>109</v>
      </c>
      <c r="G30" s="1075"/>
      <c r="H30" s="1075"/>
      <c r="I30" s="1074"/>
      <c r="J30" s="1938"/>
      <c r="K30" s="1938"/>
      <c r="L30" s="2193" t="s">
        <v>466</v>
      </c>
      <c r="M30" s="2194"/>
      <c r="N30" s="2195"/>
      <c r="O30" s="2195"/>
      <c r="P30" s="1188">
        <f>SUM(P32+P78)</f>
        <v>388894860</v>
      </c>
      <c r="Q30" s="2249"/>
      <c r="R30" s="1176"/>
      <c r="S30" s="1176"/>
      <c r="T30" s="1188">
        <f>SUM(T32+T78)</f>
        <v>313577430</v>
      </c>
      <c r="U30" s="1195">
        <f>SUM(T30)-P30</f>
        <v>-75317430</v>
      </c>
      <c r="V30" s="1194"/>
    </row>
    <row r="31" spans="2:22" x14ac:dyDescent="0.25">
      <c r="B31" s="2196"/>
      <c r="C31" s="1142"/>
      <c r="D31" s="1142"/>
      <c r="E31" s="2197"/>
      <c r="F31" s="1142"/>
      <c r="G31" s="1052"/>
      <c r="H31" s="1052"/>
      <c r="I31" s="1052"/>
      <c r="J31" s="2198"/>
      <c r="K31" s="2199"/>
      <c r="L31" s="2200"/>
      <c r="M31" s="2201"/>
      <c r="N31" s="2202"/>
      <c r="O31" s="2202"/>
      <c r="P31" s="2266"/>
      <c r="Q31" s="2250"/>
      <c r="R31" s="1282"/>
      <c r="S31" s="1282"/>
      <c r="T31" s="1261"/>
      <c r="U31" s="1193"/>
      <c r="V31" s="1194"/>
    </row>
    <row r="32" spans="2:22" ht="15.5" customHeight="1" x14ac:dyDescent="0.25">
      <c r="B32" s="486">
        <v>1</v>
      </c>
      <c r="C32" s="487" t="s">
        <v>239</v>
      </c>
      <c r="D32" s="487" t="s">
        <v>84</v>
      </c>
      <c r="E32" s="1716">
        <v>15</v>
      </c>
      <c r="F32" s="1732" t="s">
        <v>109</v>
      </c>
      <c r="G32" s="1052">
        <v>5</v>
      </c>
      <c r="H32" s="1052">
        <v>2</v>
      </c>
      <c r="I32" s="1052">
        <v>1</v>
      </c>
      <c r="J32" s="2198"/>
      <c r="K32" s="2198"/>
      <c r="L32" s="2203" t="s">
        <v>39</v>
      </c>
      <c r="M32" s="2204"/>
      <c r="N32" s="856"/>
      <c r="O32" s="856"/>
      <c r="P32" s="2266">
        <f>P33+P69</f>
        <v>89815000</v>
      </c>
      <c r="Q32" s="2251"/>
      <c r="R32" s="1283"/>
      <c r="S32" s="1283"/>
      <c r="T32" s="1261">
        <f>SUM(T33+T69)</f>
        <v>150100000</v>
      </c>
      <c r="U32" s="1195">
        <f>SUM(T32)-P32</f>
        <v>60285000</v>
      </c>
      <c r="V32" s="1194"/>
    </row>
    <row r="33" spans="2:22" x14ac:dyDescent="0.25">
      <c r="B33" s="486">
        <v>1</v>
      </c>
      <c r="C33" s="487" t="s">
        <v>239</v>
      </c>
      <c r="D33" s="487" t="s">
        <v>84</v>
      </c>
      <c r="E33" s="1716">
        <v>15</v>
      </c>
      <c r="F33" s="1732" t="s">
        <v>109</v>
      </c>
      <c r="G33" s="1052">
        <v>5</v>
      </c>
      <c r="H33" s="1052">
        <v>2</v>
      </c>
      <c r="I33" s="1052">
        <v>1</v>
      </c>
      <c r="J33" s="1142" t="s">
        <v>84</v>
      </c>
      <c r="K33" s="1052"/>
      <c r="L33" s="2205" t="s">
        <v>169</v>
      </c>
      <c r="M33" s="2204"/>
      <c r="N33" s="2206"/>
      <c r="O33" s="2206"/>
      <c r="P33" s="2266">
        <f>SUM(P37+P34)</f>
        <v>73090000</v>
      </c>
      <c r="Q33" s="2251"/>
      <c r="R33" s="1284"/>
      <c r="S33" s="1284"/>
      <c r="T33" s="1261">
        <f>SUM(T34+T37)</f>
        <v>144850000</v>
      </c>
      <c r="U33" s="1195">
        <f>SUM(T33)-P33</f>
        <v>71760000</v>
      </c>
      <c r="V33" s="1194"/>
    </row>
    <row r="34" spans="2:22" x14ac:dyDescent="0.25">
      <c r="B34" s="486">
        <v>1</v>
      </c>
      <c r="C34" s="487" t="s">
        <v>239</v>
      </c>
      <c r="D34" s="487" t="s">
        <v>84</v>
      </c>
      <c r="E34" s="1716">
        <v>15</v>
      </c>
      <c r="F34" s="1732" t="s">
        <v>109</v>
      </c>
      <c r="G34" s="1716">
        <v>5</v>
      </c>
      <c r="H34" s="1716">
        <v>2</v>
      </c>
      <c r="I34" s="1717">
        <v>1</v>
      </c>
      <c r="J34" s="1722" t="s">
        <v>84</v>
      </c>
      <c r="K34" s="1722" t="s">
        <v>84</v>
      </c>
      <c r="L34" s="1893" t="s">
        <v>85</v>
      </c>
      <c r="M34" s="2207"/>
      <c r="N34" s="1727"/>
      <c r="O34" s="1728"/>
      <c r="P34" s="1811">
        <f>SUM(P35:P35)</f>
        <v>1800000</v>
      </c>
      <c r="Q34" s="2252"/>
      <c r="R34" s="1078"/>
      <c r="S34" s="960"/>
      <c r="T34" s="1190">
        <f>T35</f>
        <v>1800000</v>
      </c>
      <c r="U34" s="1195">
        <f>SUM(T34)-P34</f>
        <v>0</v>
      </c>
      <c r="V34" s="1196">
        <f>U34/P34*100</f>
        <v>0</v>
      </c>
    </row>
    <row r="35" spans="2:22" ht="37.5" x14ac:dyDescent="0.25">
      <c r="B35" s="1730"/>
      <c r="C35" s="1722"/>
      <c r="D35" s="1722"/>
      <c r="E35" s="1731"/>
      <c r="F35" s="1722"/>
      <c r="G35" s="1717"/>
      <c r="H35" s="1717"/>
      <c r="I35" s="1735"/>
      <c r="J35" s="1736"/>
      <c r="K35" s="1722"/>
      <c r="L35" s="1805" t="s">
        <v>781</v>
      </c>
      <c r="M35" s="603">
        <v>6</v>
      </c>
      <c r="N35" s="1078" t="s">
        <v>82</v>
      </c>
      <c r="O35" s="961">
        <v>300000</v>
      </c>
      <c r="P35" s="1190">
        <f>O35*M35</f>
        <v>1800000</v>
      </c>
      <c r="Q35" s="2253">
        <v>6</v>
      </c>
      <c r="R35" s="1078" t="s">
        <v>82</v>
      </c>
      <c r="S35" s="961">
        <v>300000</v>
      </c>
      <c r="T35" s="1190">
        <v>1800000</v>
      </c>
      <c r="U35" s="1195">
        <f>SUM(T35)-P35</f>
        <v>0</v>
      </c>
      <c r="V35" s="1194"/>
    </row>
    <row r="36" spans="2:22" x14ac:dyDescent="0.25">
      <c r="B36" s="2196"/>
      <c r="C36" s="1142"/>
      <c r="D36" s="1142"/>
      <c r="E36" s="2197"/>
      <c r="F36" s="2197"/>
      <c r="G36" s="1052"/>
      <c r="H36" s="1052"/>
      <c r="I36" s="1052"/>
      <c r="J36" s="1142"/>
      <c r="K36" s="1052"/>
      <c r="L36" s="2205"/>
      <c r="M36" s="1018"/>
      <c r="N36" s="2206"/>
      <c r="O36" s="2206"/>
      <c r="P36" s="2266"/>
      <c r="Q36" s="2254"/>
      <c r="R36" s="1284"/>
      <c r="S36" s="1284"/>
      <c r="T36" s="1261"/>
      <c r="U36" s="1195"/>
      <c r="V36" s="1194"/>
    </row>
    <row r="37" spans="2:22" x14ac:dyDescent="0.25">
      <c r="B37" s="486">
        <v>1</v>
      </c>
      <c r="C37" s="487" t="s">
        <v>239</v>
      </c>
      <c r="D37" s="487" t="s">
        <v>84</v>
      </c>
      <c r="E37" s="1716">
        <v>15</v>
      </c>
      <c r="F37" s="1732" t="s">
        <v>109</v>
      </c>
      <c r="G37" s="1052">
        <v>5</v>
      </c>
      <c r="H37" s="1052">
        <v>2</v>
      </c>
      <c r="I37" s="1052">
        <v>1</v>
      </c>
      <c r="J37" s="1142" t="s">
        <v>84</v>
      </c>
      <c r="K37" s="1142" t="s">
        <v>112</v>
      </c>
      <c r="L37" s="2208" t="s">
        <v>174</v>
      </c>
      <c r="M37" s="2209"/>
      <c r="N37" s="1057"/>
      <c r="O37" s="2210"/>
      <c r="P37" s="2210">
        <f>SUM(P47+P52+P38)</f>
        <v>71290000</v>
      </c>
      <c r="Q37" s="2255"/>
      <c r="R37" s="919"/>
      <c r="S37" s="1197"/>
      <c r="T37" s="1197">
        <f>T52+T61</f>
        <v>143050000</v>
      </c>
      <c r="U37" s="1195">
        <f>SUM(T37)-P37</f>
        <v>71760000</v>
      </c>
      <c r="V37" s="1194"/>
    </row>
    <row r="38" spans="2:22" x14ac:dyDescent="0.25">
      <c r="B38" s="47"/>
      <c r="C38" s="6"/>
      <c r="D38" s="6"/>
      <c r="E38" s="2211"/>
      <c r="F38" s="2212"/>
      <c r="G38" s="1052"/>
      <c r="H38" s="1052"/>
      <c r="I38" s="1052"/>
      <c r="J38" s="1142"/>
      <c r="K38" s="1142"/>
      <c r="L38" s="2208" t="s">
        <v>875</v>
      </c>
      <c r="M38" s="2209"/>
      <c r="N38" s="1057"/>
      <c r="O38" s="2210"/>
      <c r="P38" s="2210">
        <f>SUM(P39:P46)</f>
        <v>16290000</v>
      </c>
      <c r="Q38" s="2255"/>
      <c r="R38" s="919"/>
      <c r="S38" s="1197"/>
      <c r="T38" s="1197"/>
      <c r="U38" s="1195">
        <f>SUM(T38)-P38</f>
        <v>-16290000</v>
      </c>
      <c r="V38" s="1196">
        <f>U38/P38*100</f>
        <v>-100</v>
      </c>
    </row>
    <row r="39" spans="2:22" x14ac:dyDescent="0.25">
      <c r="B39" s="47"/>
      <c r="C39" s="6"/>
      <c r="D39" s="6"/>
      <c r="E39" s="2211"/>
      <c r="F39" s="2212"/>
      <c r="G39" s="1052"/>
      <c r="H39" s="1052"/>
      <c r="I39" s="1052"/>
      <c r="J39" s="1142"/>
      <c r="K39" s="1142"/>
      <c r="L39" s="2213" t="s">
        <v>876</v>
      </c>
      <c r="M39" s="1022">
        <f>2*3</f>
        <v>6</v>
      </c>
      <c r="N39" s="2214" t="s">
        <v>88</v>
      </c>
      <c r="O39" s="2215">
        <v>500000</v>
      </c>
      <c r="P39" s="2215">
        <f>O39*M39</f>
        <v>3000000</v>
      </c>
      <c r="Q39" s="2256"/>
      <c r="R39" s="1285"/>
      <c r="S39" s="1028"/>
      <c r="T39" s="1028"/>
      <c r="U39" s="1195">
        <f>SUM(T39)-P39</f>
        <v>-3000000</v>
      </c>
      <c r="V39" s="1196">
        <f>U39/P39*100</f>
        <v>-100</v>
      </c>
    </row>
    <row r="40" spans="2:22" x14ac:dyDescent="0.25">
      <c r="B40" s="47"/>
      <c r="C40" s="6"/>
      <c r="D40" s="6"/>
      <c r="E40" s="2211"/>
      <c r="F40" s="2212"/>
      <c r="G40" s="1052"/>
      <c r="H40" s="1052"/>
      <c r="I40" s="1052"/>
      <c r="J40" s="1142"/>
      <c r="K40" s="1142"/>
      <c r="L40" s="2216" t="s">
        <v>877</v>
      </c>
      <c r="M40" s="1022">
        <f>3*1</f>
        <v>3</v>
      </c>
      <c r="N40" s="2214" t="s">
        <v>88</v>
      </c>
      <c r="O40" s="2215">
        <v>450000</v>
      </c>
      <c r="P40" s="2215">
        <f>O40*M40</f>
        <v>1350000</v>
      </c>
      <c r="Q40" s="2256"/>
      <c r="R40" s="1285"/>
      <c r="S40" s="1028"/>
      <c r="T40" s="1028"/>
      <c r="U40" s="1195">
        <f t="shared" ref="U40" si="0">SUM(T40)-P40</f>
        <v>-1350000</v>
      </c>
      <c r="V40" s="1194"/>
    </row>
    <row r="41" spans="2:22" x14ac:dyDescent="0.25">
      <c r="B41" s="47"/>
      <c r="C41" s="6"/>
      <c r="D41" s="6"/>
      <c r="E41" s="2211"/>
      <c r="F41" s="2212"/>
      <c r="G41" s="1052"/>
      <c r="H41" s="1052"/>
      <c r="I41" s="1052"/>
      <c r="J41" s="1142"/>
      <c r="K41" s="1142"/>
      <c r="L41" s="2216" t="s">
        <v>878</v>
      </c>
      <c r="M41" s="1022">
        <f t="shared" ref="M41:M50" si="1">3*1</f>
        <v>3</v>
      </c>
      <c r="N41" s="2214" t="s">
        <v>88</v>
      </c>
      <c r="O41" s="2215">
        <v>400000</v>
      </c>
      <c r="P41" s="2215">
        <f>O41*M41</f>
        <v>1200000</v>
      </c>
      <c r="Q41" s="2256"/>
      <c r="R41" s="1285"/>
      <c r="S41" s="1028"/>
      <c r="T41" s="1028"/>
      <c r="U41" s="1195">
        <f>SUM(T41)-P41</f>
        <v>-1200000</v>
      </c>
      <c r="V41" s="1194"/>
    </row>
    <row r="42" spans="2:22" x14ac:dyDescent="0.25">
      <c r="B42" s="47"/>
      <c r="C42" s="6"/>
      <c r="D42" s="6"/>
      <c r="E42" s="2211"/>
      <c r="F42" s="2212"/>
      <c r="G42" s="1052"/>
      <c r="H42" s="1052"/>
      <c r="I42" s="1052"/>
      <c r="J42" s="1142"/>
      <c r="K42" s="1142"/>
      <c r="L42" s="2213" t="s">
        <v>879</v>
      </c>
      <c r="M42" s="1022">
        <f t="shared" si="1"/>
        <v>3</v>
      </c>
      <c r="N42" s="2214" t="s">
        <v>88</v>
      </c>
      <c r="O42" s="2215">
        <v>350000</v>
      </c>
      <c r="P42" s="2215">
        <f>O42*M42</f>
        <v>1050000</v>
      </c>
      <c r="Q42" s="2256"/>
      <c r="R42" s="1285"/>
      <c r="S42" s="1028"/>
      <c r="T42" s="1028"/>
      <c r="U42" s="1195">
        <f>SUM(T42)-P42</f>
        <v>-1050000</v>
      </c>
      <c r="V42" s="1194"/>
    </row>
    <row r="43" spans="2:22" x14ac:dyDescent="0.25">
      <c r="B43" s="47"/>
      <c r="C43" s="6"/>
      <c r="D43" s="6"/>
      <c r="E43" s="2211"/>
      <c r="F43" s="2212"/>
      <c r="G43" s="1052"/>
      <c r="H43" s="1052"/>
      <c r="I43" s="1052"/>
      <c r="J43" s="1142"/>
      <c r="K43" s="1142"/>
      <c r="L43" s="2213" t="s">
        <v>880</v>
      </c>
      <c r="M43" s="1022">
        <f t="shared" si="1"/>
        <v>3</v>
      </c>
      <c r="N43" s="2214" t="s">
        <v>88</v>
      </c>
      <c r="O43" s="2215">
        <v>325000</v>
      </c>
      <c r="P43" s="2215">
        <f t="shared" ref="P43:P46" si="2">O43*M43</f>
        <v>975000</v>
      </c>
      <c r="Q43" s="2256"/>
      <c r="R43" s="1285"/>
      <c r="S43" s="1028"/>
      <c r="T43" s="1028"/>
      <c r="U43" s="1195">
        <f>SUM(T43)-P43</f>
        <v>-975000</v>
      </c>
      <c r="V43" s="1194"/>
    </row>
    <row r="44" spans="2:22" x14ac:dyDescent="0.25">
      <c r="B44" s="47"/>
      <c r="C44" s="6"/>
      <c r="D44" s="6"/>
      <c r="E44" s="2211"/>
      <c r="F44" s="2212"/>
      <c r="G44" s="1052"/>
      <c r="H44" s="1052"/>
      <c r="I44" s="1052"/>
      <c r="J44" s="1142"/>
      <c r="K44" s="1142"/>
      <c r="L44" s="2213" t="s">
        <v>881</v>
      </c>
      <c r="M44" s="1022">
        <f t="shared" si="1"/>
        <v>3</v>
      </c>
      <c r="N44" s="2214" t="s">
        <v>88</v>
      </c>
      <c r="O44" s="2215">
        <v>300000</v>
      </c>
      <c r="P44" s="2215">
        <f t="shared" si="2"/>
        <v>900000</v>
      </c>
      <c r="Q44" s="2256"/>
      <c r="R44" s="1285"/>
      <c r="S44" s="1028"/>
      <c r="T44" s="1028"/>
      <c r="U44" s="1195">
        <f>SUM(T44)-P44</f>
        <v>-900000</v>
      </c>
      <c r="V44" s="1194"/>
    </row>
    <row r="45" spans="2:22" x14ac:dyDescent="0.25">
      <c r="B45" s="47"/>
      <c r="C45" s="6"/>
      <c r="D45" s="6"/>
      <c r="E45" s="2211"/>
      <c r="F45" s="2212"/>
      <c r="G45" s="1052"/>
      <c r="H45" s="1052"/>
      <c r="I45" s="1052"/>
      <c r="J45" s="1142"/>
      <c r="K45" s="1142"/>
      <c r="L45" s="2216" t="s">
        <v>882</v>
      </c>
      <c r="M45" s="1022">
        <f>3*3</f>
        <v>9</v>
      </c>
      <c r="N45" s="2214" t="s">
        <v>88</v>
      </c>
      <c r="O45" s="2215">
        <v>285000</v>
      </c>
      <c r="P45" s="2215">
        <f t="shared" si="2"/>
        <v>2565000</v>
      </c>
      <c r="Q45" s="2256"/>
      <c r="R45" s="1285"/>
      <c r="S45" s="1028"/>
      <c r="T45" s="1028"/>
      <c r="U45" s="1193"/>
      <c r="V45" s="1194"/>
    </row>
    <row r="46" spans="2:22" x14ac:dyDescent="0.25">
      <c r="B46" s="47"/>
      <c r="C46" s="6"/>
      <c r="D46" s="6"/>
      <c r="E46" s="2211"/>
      <c r="F46" s="2212"/>
      <c r="G46" s="1052"/>
      <c r="H46" s="1052"/>
      <c r="I46" s="1052"/>
      <c r="J46" s="1142"/>
      <c r="K46" s="1142"/>
      <c r="L46" s="2216" t="s">
        <v>883</v>
      </c>
      <c r="M46" s="1022">
        <f>7*3</f>
        <v>21</v>
      </c>
      <c r="N46" s="2214" t="s">
        <v>88</v>
      </c>
      <c r="O46" s="2215">
        <v>250000</v>
      </c>
      <c r="P46" s="2215">
        <f t="shared" si="2"/>
        <v>5250000</v>
      </c>
      <c r="Q46" s="2256"/>
      <c r="R46" s="1285"/>
      <c r="S46" s="1028"/>
      <c r="T46" s="1028"/>
      <c r="U46" s="1195">
        <f>SUM(T46)-P46</f>
        <v>-5250000</v>
      </c>
      <c r="V46" s="1196">
        <f>U46/P46*100</f>
        <v>-100</v>
      </c>
    </row>
    <row r="47" spans="2:22" x14ac:dyDescent="0.25">
      <c r="B47" s="47"/>
      <c r="C47" s="6"/>
      <c r="D47" s="6"/>
      <c r="E47" s="2211"/>
      <c r="F47" s="2212"/>
      <c r="G47" s="1052"/>
      <c r="H47" s="1052"/>
      <c r="I47" s="1052"/>
      <c r="J47" s="1142"/>
      <c r="K47" s="1142"/>
      <c r="L47" s="2208" t="s">
        <v>884</v>
      </c>
      <c r="M47" s="2209"/>
      <c r="N47" s="1057"/>
      <c r="O47" s="2210"/>
      <c r="P47" s="2210">
        <f>SUM(P48:P51)</f>
        <v>7425000</v>
      </c>
      <c r="Q47" s="2255"/>
      <c r="R47" s="919"/>
      <c r="S47" s="1197"/>
      <c r="T47" s="1200"/>
      <c r="U47" s="1195">
        <f>SUM(T47)-P47</f>
        <v>-7425000</v>
      </c>
      <c r="V47" s="1196">
        <f>U47/P47*100</f>
        <v>-100</v>
      </c>
    </row>
    <row r="48" spans="2:22" x14ac:dyDescent="0.25">
      <c r="B48" s="2217"/>
      <c r="C48" s="2218"/>
      <c r="D48" s="2218"/>
      <c r="E48" s="2219"/>
      <c r="F48" s="2218"/>
      <c r="G48" s="2220"/>
      <c r="H48" s="2220"/>
      <c r="I48" s="2220"/>
      <c r="J48" s="2218"/>
      <c r="K48" s="2218"/>
      <c r="L48" s="2213" t="s">
        <v>879</v>
      </c>
      <c r="M48" s="1022">
        <f t="shared" si="1"/>
        <v>3</v>
      </c>
      <c r="N48" s="2214" t="s">
        <v>88</v>
      </c>
      <c r="O48" s="2215">
        <v>350000</v>
      </c>
      <c r="P48" s="2215">
        <f>O48*M48</f>
        <v>1050000</v>
      </c>
      <c r="Q48" s="2256"/>
      <c r="R48" s="1285"/>
      <c r="S48" s="1028"/>
      <c r="T48" s="1028"/>
      <c r="U48" s="1195"/>
      <c r="V48" s="1194"/>
    </row>
    <row r="49" spans="2:22" x14ac:dyDescent="0.25">
      <c r="B49" s="2217"/>
      <c r="C49" s="2218"/>
      <c r="D49" s="2218"/>
      <c r="E49" s="2219"/>
      <c r="F49" s="2219"/>
      <c r="G49" s="2220"/>
      <c r="H49" s="2220"/>
      <c r="I49" s="2220"/>
      <c r="J49" s="2221"/>
      <c r="K49" s="2221"/>
      <c r="L49" s="2213" t="s">
        <v>880</v>
      </c>
      <c r="M49" s="1022">
        <f t="shared" si="1"/>
        <v>3</v>
      </c>
      <c r="N49" s="2214" t="s">
        <v>88</v>
      </c>
      <c r="O49" s="2215">
        <v>325000</v>
      </c>
      <c r="P49" s="2215">
        <f t="shared" ref="P49:P51" si="3">O49*M49</f>
        <v>975000</v>
      </c>
      <c r="Q49" s="2256"/>
      <c r="R49" s="1285"/>
      <c r="S49" s="1028"/>
      <c r="T49" s="1028"/>
      <c r="U49" s="1195"/>
      <c r="V49" s="1196"/>
    </row>
    <row r="50" spans="2:22" ht="14.25" customHeight="1" x14ac:dyDescent="0.25">
      <c r="B50" s="2217"/>
      <c r="C50" s="2218"/>
      <c r="D50" s="2218"/>
      <c r="E50" s="2219"/>
      <c r="F50" s="2219"/>
      <c r="G50" s="2220"/>
      <c r="H50" s="2220"/>
      <c r="I50" s="2220"/>
      <c r="J50" s="2221"/>
      <c r="K50" s="2221"/>
      <c r="L50" s="2213" t="s">
        <v>881</v>
      </c>
      <c r="M50" s="1022">
        <f t="shared" si="1"/>
        <v>3</v>
      </c>
      <c r="N50" s="2214" t="s">
        <v>88</v>
      </c>
      <c r="O50" s="2215">
        <v>300000</v>
      </c>
      <c r="P50" s="2215">
        <f t="shared" si="3"/>
        <v>900000</v>
      </c>
      <c r="Q50" s="2256"/>
      <c r="R50" s="1285"/>
      <c r="S50" s="1028"/>
      <c r="T50" s="1028"/>
      <c r="U50" s="1195">
        <f>SUM(T50)-P50</f>
        <v>-900000</v>
      </c>
      <c r="V50" s="1194"/>
    </row>
    <row r="51" spans="2:22" x14ac:dyDescent="0.25">
      <c r="B51" s="2217"/>
      <c r="C51" s="2218"/>
      <c r="D51" s="2218"/>
      <c r="E51" s="2219"/>
      <c r="F51" s="2219"/>
      <c r="G51" s="2220"/>
      <c r="H51" s="2220"/>
      <c r="I51" s="2220"/>
      <c r="J51" s="2221"/>
      <c r="K51" s="2221"/>
      <c r="L51" s="2216" t="s">
        <v>885</v>
      </c>
      <c r="M51" s="1022">
        <f>6*3</f>
        <v>18</v>
      </c>
      <c r="N51" s="2214" t="s">
        <v>88</v>
      </c>
      <c r="O51" s="2215">
        <v>250000</v>
      </c>
      <c r="P51" s="2215">
        <f t="shared" si="3"/>
        <v>4500000</v>
      </c>
      <c r="Q51" s="2256"/>
      <c r="R51" s="1285"/>
      <c r="S51" s="1028"/>
      <c r="T51" s="1028"/>
      <c r="U51" s="1193"/>
      <c r="V51" s="1194"/>
    </row>
    <row r="52" spans="2:22" ht="13.5" customHeight="1" x14ac:dyDescent="0.25">
      <c r="B52" s="2217"/>
      <c r="C52" s="2218"/>
      <c r="D52" s="2218"/>
      <c r="E52" s="2219"/>
      <c r="F52" s="2219"/>
      <c r="G52" s="2220"/>
      <c r="H52" s="2220"/>
      <c r="I52" s="2220"/>
      <c r="J52" s="2221"/>
      <c r="K52" s="2221"/>
      <c r="L52" s="2222" t="s">
        <v>886</v>
      </c>
      <c r="M52" s="1025"/>
      <c r="N52" s="2214"/>
      <c r="O52" s="2215"/>
      <c r="P52" s="2215">
        <f>SUM(P53:P60)</f>
        <v>47575000</v>
      </c>
      <c r="Q52" s="2257"/>
      <c r="R52" s="1285"/>
      <c r="S52" s="1028"/>
      <c r="T52" s="1028">
        <f>SUM(T53:T60)</f>
        <v>56650000</v>
      </c>
      <c r="U52" s="1195">
        <f>SUM(T52)-P52</f>
        <v>9075000</v>
      </c>
      <c r="V52" s="1194"/>
    </row>
    <row r="53" spans="2:22" ht="13.5" customHeight="1" x14ac:dyDescent="0.25">
      <c r="B53" s="2217"/>
      <c r="C53" s="2218"/>
      <c r="D53" s="2218"/>
      <c r="E53" s="2219"/>
      <c r="F53" s="2219"/>
      <c r="G53" s="2220"/>
      <c r="H53" s="2220"/>
      <c r="I53" s="2220"/>
      <c r="J53" s="2221"/>
      <c r="K53" s="2221"/>
      <c r="L53" s="2213" t="s">
        <v>887</v>
      </c>
      <c r="M53" s="1022">
        <f>2*11</f>
        <v>22</v>
      </c>
      <c r="N53" s="2214" t="s">
        <v>88</v>
      </c>
      <c r="O53" s="2215">
        <v>500000</v>
      </c>
      <c r="P53" s="2215">
        <f t="shared" ref="P53:P60" si="4">O53*M53</f>
        <v>11000000</v>
      </c>
      <c r="Q53" s="2256">
        <v>22</v>
      </c>
      <c r="R53" s="1285" t="s">
        <v>88</v>
      </c>
      <c r="S53" s="1028">
        <v>500000</v>
      </c>
      <c r="T53" s="1190">
        <f t="shared" ref="T53:T59" si="5">Q53*S53</f>
        <v>11000000</v>
      </c>
      <c r="U53" s="1195">
        <f>SUM(T53)-P53</f>
        <v>0</v>
      </c>
      <c r="V53" s="1194"/>
    </row>
    <row r="54" spans="2:22" ht="13.5" customHeight="1" x14ac:dyDescent="0.25">
      <c r="B54" s="2217"/>
      <c r="C54" s="2218"/>
      <c r="D54" s="2218"/>
      <c r="E54" s="2219"/>
      <c r="F54" s="2219"/>
      <c r="G54" s="2220"/>
      <c r="H54" s="2220"/>
      <c r="I54" s="2220"/>
      <c r="J54" s="2221"/>
      <c r="K54" s="2221"/>
      <c r="L54" s="2216" t="s">
        <v>888</v>
      </c>
      <c r="M54" s="1022">
        <f>1*11</f>
        <v>11</v>
      </c>
      <c r="N54" s="2214" t="s">
        <v>88</v>
      </c>
      <c r="O54" s="2215">
        <v>450000</v>
      </c>
      <c r="P54" s="2215">
        <f t="shared" si="4"/>
        <v>4950000</v>
      </c>
      <c r="Q54" s="2256">
        <v>11</v>
      </c>
      <c r="R54" s="1285" t="s">
        <v>88</v>
      </c>
      <c r="S54" s="1028">
        <v>450000</v>
      </c>
      <c r="T54" s="1190">
        <f t="shared" si="5"/>
        <v>4950000</v>
      </c>
      <c r="U54" s="1201">
        <f>SUM(T54)-P54</f>
        <v>0</v>
      </c>
      <c r="V54" s="1202"/>
    </row>
    <row r="55" spans="2:22" ht="13.5" customHeight="1" x14ac:dyDescent="0.25">
      <c r="B55" s="2217"/>
      <c r="C55" s="2218"/>
      <c r="D55" s="2218"/>
      <c r="E55" s="2219"/>
      <c r="F55" s="2219"/>
      <c r="G55" s="2220"/>
      <c r="H55" s="2220"/>
      <c r="I55" s="2220"/>
      <c r="J55" s="2221"/>
      <c r="K55" s="2221"/>
      <c r="L55" s="2216" t="s">
        <v>889</v>
      </c>
      <c r="M55" s="1022">
        <f t="shared" ref="M55:M58" si="6">1*11</f>
        <v>11</v>
      </c>
      <c r="N55" s="2214" t="s">
        <v>88</v>
      </c>
      <c r="O55" s="2215">
        <v>400000</v>
      </c>
      <c r="P55" s="2215">
        <f t="shared" si="4"/>
        <v>4400000</v>
      </c>
      <c r="Q55" s="2256">
        <v>11</v>
      </c>
      <c r="R55" s="1285" t="s">
        <v>88</v>
      </c>
      <c r="S55" s="1028">
        <v>400000</v>
      </c>
      <c r="T55" s="1190">
        <f t="shared" si="5"/>
        <v>4400000</v>
      </c>
      <c r="U55" s="1201"/>
      <c r="V55" s="1202"/>
    </row>
    <row r="56" spans="2:22" ht="13.5" customHeight="1" x14ac:dyDescent="0.25">
      <c r="B56" s="2217"/>
      <c r="C56" s="2218"/>
      <c r="D56" s="2218"/>
      <c r="E56" s="2219"/>
      <c r="F56" s="2219"/>
      <c r="G56" s="2220"/>
      <c r="H56" s="2220"/>
      <c r="I56" s="2220"/>
      <c r="J56" s="2221"/>
      <c r="K56" s="2221"/>
      <c r="L56" s="2213" t="s">
        <v>890</v>
      </c>
      <c r="M56" s="1022">
        <f t="shared" si="6"/>
        <v>11</v>
      </c>
      <c r="N56" s="2214" t="s">
        <v>88</v>
      </c>
      <c r="O56" s="2215">
        <v>350000</v>
      </c>
      <c r="P56" s="2215">
        <f t="shared" si="4"/>
        <v>3850000</v>
      </c>
      <c r="Q56" s="2256">
        <v>11</v>
      </c>
      <c r="R56" s="1285" t="s">
        <v>88</v>
      </c>
      <c r="S56" s="1028">
        <v>350000</v>
      </c>
      <c r="T56" s="1190">
        <f t="shared" si="5"/>
        <v>3850000</v>
      </c>
      <c r="U56" s="1195">
        <f>SUM(T56)-P56</f>
        <v>0</v>
      </c>
      <c r="V56" s="1194"/>
    </row>
    <row r="57" spans="2:22" ht="13.5" customHeight="1" x14ac:dyDescent="0.25">
      <c r="B57" s="2217"/>
      <c r="C57" s="2218"/>
      <c r="D57" s="2218"/>
      <c r="E57" s="2219"/>
      <c r="F57" s="2219"/>
      <c r="G57" s="2220"/>
      <c r="H57" s="2220"/>
      <c r="I57" s="2220"/>
      <c r="J57" s="2221"/>
      <c r="K57" s="2221"/>
      <c r="L57" s="2213" t="s">
        <v>891</v>
      </c>
      <c r="M57" s="1022">
        <f t="shared" si="6"/>
        <v>11</v>
      </c>
      <c r="N57" s="2214" t="s">
        <v>88</v>
      </c>
      <c r="O57" s="2215">
        <v>325000</v>
      </c>
      <c r="P57" s="2215">
        <f t="shared" si="4"/>
        <v>3575000</v>
      </c>
      <c r="Q57" s="2256">
        <v>11</v>
      </c>
      <c r="R57" s="1285" t="s">
        <v>88</v>
      </c>
      <c r="S57" s="1028">
        <v>325000</v>
      </c>
      <c r="T57" s="1190">
        <f t="shared" si="5"/>
        <v>3575000</v>
      </c>
      <c r="U57" s="1195"/>
      <c r="V57" s="1194"/>
    </row>
    <row r="58" spans="2:22" ht="13.5" customHeight="1" x14ac:dyDescent="0.25">
      <c r="B58" s="2217"/>
      <c r="C58" s="2218"/>
      <c r="D58" s="2218"/>
      <c r="E58" s="2219"/>
      <c r="F58" s="2219"/>
      <c r="G58" s="2220"/>
      <c r="H58" s="2220"/>
      <c r="I58" s="2220"/>
      <c r="J58" s="2221"/>
      <c r="K58" s="2221"/>
      <c r="L58" s="2213" t="s">
        <v>892</v>
      </c>
      <c r="M58" s="1022">
        <f t="shared" si="6"/>
        <v>11</v>
      </c>
      <c r="N58" s="2214" t="s">
        <v>88</v>
      </c>
      <c r="O58" s="2215">
        <v>300000</v>
      </c>
      <c r="P58" s="2215">
        <f t="shared" si="4"/>
        <v>3300000</v>
      </c>
      <c r="Q58" s="2256">
        <v>11</v>
      </c>
      <c r="R58" s="1285" t="s">
        <v>88</v>
      </c>
      <c r="S58" s="1028">
        <v>300000</v>
      </c>
      <c r="T58" s="1190">
        <f t="shared" si="5"/>
        <v>3300000</v>
      </c>
      <c r="U58" s="1193"/>
      <c r="V58" s="1194"/>
    </row>
    <row r="59" spans="2:22" ht="13.5" customHeight="1" x14ac:dyDescent="0.25">
      <c r="B59" s="2217"/>
      <c r="C59" s="2218"/>
      <c r="D59" s="2218"/>
      <c r="E59" s="2219"/>
      <c r="F59" s="2219"/>
      <c r="G59" s="2220"/>
      <c r="H59" s="2220"/>
      <c r="I59" s="2220"/>
      <c r="J59" s="2221"/>
      <c r="K59" s="2221"/>
      <c r="L59" s="1286" t="s">
        <v>893</v>
      </c>
      <c r="M59" s="1198"/>
      <c r="N59" s="1285"/>
      <c r="O59" s="1028"/>
      <c r="P59" s="1199"/>
      <c r="Q59" s="1198">
        <v>33</v>
      </c>
      <c r="R59" s="1285" t="s">
        <v>88</v>
      </c>
      <c r="S59" s="1028">
        <v>275000</v>
      </c>
      <c r="T59" s="1190">
        <f t="shared" si="5"/>
        <v>9075000</v>
      </c>
      <c r="U59" s="1193"/>
      <c r="V59" s="1194"/>
    </row>
    <row r="60" spans="2:22" ht="13.5" customHeight="1" x14ac:dyDescent="0.25">
      <c r="B60" s="2217"/>
      <c r="C60" s="2218"/>
      <c r="D60" s="2218"/>
      <c r="E60" s="2219"/>
      <c r="F60" s="2219"/>
      <c r="G60" s="2220"/>
      <c r="H60" s="2220"/>
      <c r="I60" s="2220"/>
      <c r="J60" s="2221"/>
      <c r="K60" s="2221"/>
      <c r="L60" s="2216" t="s">
        <v>894</v>
      </c>
      <c r="M60" s="1022">
        <f>6*11</f>
        <v>66</v>
      </c>
      <c r="N60" s="2214" t="s">
        <v>88</v>
      </c>
      <c r="O60" s="2215">
        <v>250000</v>
      </c>
      <c r="P60" s="2215">
        <f t="shared" si="4"/>
        <v>16500000</v>
      </c>
      <c r="Q60" s="2256">
        <v>66</v>
      </c>
      <c r="R60" s="1285" t="s">
        <v>88</v>
      </c>
      <c r="S60" s="1028">
        <v>250000</v>
      </c>
      <c r="T60" s="1190">
        <f t="shared" ref="T60" si="7">Q60*S60</f>
        <v>16500000</v>
      </c>
      <c r="U60" s="1195">
        <f>SUM(T60)-P60</f>
        <v>0</v>
      </c>
      <c r="V60" s="1194"/>
    </row>
    <row r="61" spans="2:22" ht="13.5" customHeight="1" x14ac:dyDescent="0.25">
      <c r="B61" s="2217"/>
      <c r="C61" s="2218"/>
      <c r="D61" s="2218"/>
      <c r="E61" s="2219"/>
      <c r="F61" s="2219"/>
      <c r="G61" s="2220"/>
      <c r="H61" s="2220"/>
      <c r="I61" s="2220"/>
      <c r="J61" s="2221"/>
      <c r="K61" s="2221"/>
      <c r="L61" s="1287" t="s">
        <v>895</v>
      </c>
      <c r="M61" s="1274"/>
      <c r="N61" s="1285"/>
      <c r="O61" s="1028"/>
      <c r="P61" s="1199"/>
      <c r="Q61" s="1274"/>
      <c r="R61" s="1285"/>
      <c r="S61" s="1028"/>
      <c r="T61" s="1028">
        <f>SUM(T62:T67)</f>
        <v>86400000</v>
      </c>
      <c r="U61" s="1195">
        <f>SUM(T61)-P61</f>
        <v>86400000</v>
      </c>
      <c r="V61" s="1194"/>
    </row>
    <row r="62" spans="2:22" ht="13.5" customHeight="1" x14ac:dyDescent="0.25">
      <c r="B62" s="2217"/>
      <c r="C62" s="2218"/>
      <c r="D62" s="2218"/>
      <c r="E62" s="2219"/>
      <c r="F62" s="2219"/>
      <c r="G62" s="2220"/>
      <c r="H62" s="2220"/>
      <c r="I62" s="2220"/>
      <c r="J62" s="2221"/>
      <c r="K62" s="2221"/>
      <c r="L62" s="1220" t="s">
        <v>896</v>
      </c>
      <c r="M62" s="1198"/>
      <c r="N62" s="1285"/>
      <c r="O62" s="1028"/>
      <c r="P62" s="1199"/>
      <c r="Q62" s="1198">
        <v>6</v>
      </c>
      <c r="R62" s="1285" t="s">
        <v>88</v>
      </c>
      <c r="S62" s="1028">
        <v>650000</v>
      </c>
      <c r="T62" s="1190">
        <f t="shared" ref="T62:T67" si="8">Q62*S62</f>
        <v>3900000</v>
      </c>
      <c r="U62" s="1203"/>
      <c r="V62" s="1204"/>
    </row>
    <row r="63" spans="2:22" ht="13.5" customHeight="1" x14ac:dyDescent="0.25">
      <c r="B63" s="2217"/>
      <c r="C63" s="2218"/>
      <c r="D63" s="2218"/>
      <c r="E63" s="2219"/>
      <c r="F63" s="2219"/>
      <c r="G63" s="2220"/>
      <c r="H63" s="2220"/>
      <c r="I63" s="2220"/>
      <c r="J63" s="2221"/>
      <c r="K63" s="2221"/>
      <c r="L63" s="1286" t="s">
        <v>897</v>
      </c>
      <c r="M63" s="1198"/>
      <c r="N63" s="1285"/>
      <c r="O63" s="1028"/>
      <c r="P63" s="1199"/>
      <c r="Q63" s="1198">
        <v>6</v>
      </c>
      <c r="R63" s="1285" t="s">
        <v>88</v>
      </c>
      <c r="S63" s="1028">
        <v>600000</v>
      </c>
      <c r="T63" s="1190">
        <f t="shared" si="8"/>
        <v>3600000</v>
      </c>
      <c r="U63" s="1195"/>
      <c r="V63" s="1194"/>
    </row>
    <row r="64" spans="2:22" ht="13.5" customHeight="1" x14ac:dyDescent="0.25">
      <c r="B64" s="2217"/>
      <c r="C64" s="2218"/>
      <c r="D64" s="2218"/>
      <c r="E64" s="2219"/>
      <c r="F64" s="2219"/>
      <c r="G64" s="2220"/>
      <c r="H64" s="2220"/>
      <c r="I64" s="2220"/>
      <c r="J64" s="2221"/>
      <c r="K64" s="2221"/>
      <c r="L64" s="1286" t="s">
        <v>448</v>
      </c>
      <c r="M64" s="1198"/>
      <c r="N64" s="1285"/>
      <c r="O64" s="1028"/>
      <c r="P64" s="1199"/>
      <c r="Q64" s="1198">
        <v>6</v>
      </c>
      <c r="R64" s="1285" t="s">
        <v>88</v>
      </c>
      <c r="S64" s="1028">
        <v>550000</v>
      </c>
      <c r="T64" s="1190">
        <f t="shared" si="8"/>
        <v>3300000</v>
      </c>
      <c r="U64" s="1195"/>
      <c r="V64" s="1194"/>
    </row>
    <row r="65" spans="2:22" ht="13.5" customHeight="1" x14ac:dyDescent="0.25">
      <c r="B65" s="2217"/>
      <c r="C65" s="2218"/>
      <c r="D65" s="2218"/>
      <c r="E65" s="2219"/>
      <c r="F65" s="2219"/>
      <c r="G65" s="2220"/>
      <c r="H65" s="2220"/>
      <c r="I65" s="2220"/>
      <c r="J65" s="2221"/>
      <c r="K65" s="2221"/>
      <c r="L65" s="1286" t="s">
        <v>898</v>
      </c>
      <c r="M65" s="1198"/>
      <c r="N65" s="1285"/>
      <c r="O65" s="1028"/>
      <c r="P65" s="1199"/>
      <c r="Q65" s="1198">
        <v>6</v>
      </c>
      <c r="R65" s="1285"/>
      <c r="S65" s="1028">
        <v>500000</v>
      </c>
      <c r="T65" s="1190">
        <f t="shared" si="8"/>
        <v>3000000</v>
      </c>
      <c r="U65" s="1195"/>
      <c r="V65" s="1194"/>
    </row>
    <row r="66" spans="2:22" ht="13.5" customHeight="1" x14ac:dyDescent="0.25">
      <c r="B66" s="2217"/>
      <c r="C66" s="2218"/>
      <c r="D66" s="2218"/>
      <c r="E66" s="2219"/>
      <c r="F66" s="2219"/>
      <c r="G66" s="2220"/>
      <c r="H66" s="2220"/>
      <c r="I66" s="2220"/>
      <c r="J66" s="2221"/>
      <c r="K66" s="2221"/>
      <c r="L66" s="1220" t="s">
        <v>899</v>
      </c>
      <c r="M66" s="1198"/>
      <c r="N66" s="1285"/>
      <c r="O66" s="1028"/>
      <c r="P66" s="1199"/>
      <c r="Q66" s="1198">
        <v>30</v>
      </c>
      <c r="R66" s="1285" t="s">
        <v>88</v>
      </c>
      <c r="S66" s="1028">
        <v>500000</v>
      </c>
      <c r="T66" s="1190">
        <f t="shared" si="8"/>
        <v>15000000</v>
      </c>
      <c r="U66" s="1195"/>
      <c r="V66" s="1194"/>
    </row>
    <row r="67" spans="2:22" ht="13.5" customHeight="1" x14ac:dyDescent="0.25">
      <c r="B67" s="2217"/>
      <c r="C67" s="2218"/>
      <c r="D67" s="2218"/>
      <c r="E67" s="2219"/>
      <c r="F67" s="2219"/>
      <c r="G67" s="2220"/>
      <c r="H67" s="2220"/>
      <c r="I67" s="2220"/>
      <c r="J67" s="2221"/>
      <c r="K67" s="2221"/>
      <c r="L67" s="1286" t="s">
        <v>900</v>
      </c>
      <c r="M67" s="1198"/>
      <c r="N67" s="1285"/>
      <c r="O67" s="1028"/>
      <c r="P67" s="1199"/>
      <c r="Q67" s="1198">
        <v>144</v>
      </c>
      <c r="R67" s="1285" t="s">
        <v>88</v>
      </c>
      <c r="S67" s="1028">
        <v>400000</v>
      </c>
      <c r="T67" s="1190">
        <f t="shared" si="8"/>
        <v>57600000</v>
      </c>
      <c r="U67" s="1195"/>
      <c r="V67" s="1194"/>
    </row>
    <row r="68" spans="2:22" x14ac:dyDescent="0.25">
      <c r="B68" s="2196"/>
      <c r="C68" s="1142"/>
      <c r="D68" s="1142"/>
      <c r="E68" s="2197"/>
      <c r="F68" s="2197"/>
      <c r="G68" s="1052"/>
      <c r="H68" s="1052"/>
      <c r="I68" s="1052"/>
      <c r="J68" s="2198"/>
      <c r="K68" s="2198"/>
      <c r="L68" s="2223"/>
      <c r="M68" s="1018"/>
      <c r="N68" s="1057"/>
      <c r="O68" s="2224"/>
      <c r="P68" s="2210"/>
      <c r="Q68" s="2256"/>
      <c r="R68" s="1285"/>
      <c r="S68" s="1028"/>
      <c r="T68" s="1190"/>
      <c r="U68" s="1195"/>
      <c r="V68" s="1194"/>
    </row>
    <row r="69" spans="2:22" ht="13.5" customHeight="1" x14ac:dyDescent="0.25">
      <c r="B69" s="486">
        <v>1</v>
      </c>
      <c r="C69" s="487" t="s">
        <v>239</v>
      </c>
      <c r="D69" s="487" t="s">
        <v>84</v>
      </c>
      <c r="E69" s="1716">
        <v>15</v>
      </c>
      <c r="F69" s="1732" t="s">
        <v>109</v>
      </c>
      <c r="G69" s="1052">
        <v>5</v>
      </c>
      <c r="H69" s="1052">
        <v>2</v>
      </c>
      <c r="I69" s="1052">
        <v>1</v>
      </c>
      <c r="J69" s="1142" t="s">
        <v>87</v>
      </c>
      <c r="K69" s="1142"/>
      <c r="L69" s="2205" t="s">
        <v>107</v>
      </c>
      <c r="M69" s="1018"/>
      <c r="N69" s="2206"/>
      <c r="O69" s="2206"/>
      <c r="P69" s="2266">
        <f>P70</f>
        <v>16725000</v>
      </c>
      <c r="Q69" s="2254"/>
      <c r="R69" s="1284"/>
      <c r="S69" s="1284"/>
      <c r="T69" s="1261">
        <f>T70</f>
        <v>5250000</v>
      </c>
      <c r="U69" s="1195"/>
      <c r="V69" s="1194"/>
    </row>
    <row r="70" spans="2:22" ht="13.5" customHeight="1" x14ac:dyDescent="0.25">
      <c r="B70" s="486">
        <v>1</v>
      </c>
      <c r="C70" s="487" t="s">
        <v>239</v>
      </c>
      <c r="D70" s="487" t="s">
        <v>84</v>
      </c>
      <c r="E70" s="1716">
        <v>15</v>
      </c>
      <c r="F70" s="1732" t="s">
        <v>109</v>
      </c>
      <c r="G70" s="1052">
        <v>5</v>
      </c>
      <c r="H70" s="1052">
        <v>2</v>
      </c>
      <c r="I70" s="1052">
        <v>1</v>
      </c>
      <c r="J70" s="1142" t="s">
        <v>87</v>
      </c>
      <c r="K70" s="1142" t="s">
        <v>97</v>
      </c>
      <c r="L70" s="2208" t="s">
        <v>175</v>
      </c>
      <c r="M70" s="2209"/>
      <c r="N70" s="1057"/>
      <c r="O70" s="1057"/>
      <c r="P70" s="2226">
        <f>SUM(P71:P76)</f>
        <v>16725000</v>
      </c>
      <c r="Q70" s="2255"/>
      <c r="R70" s="919"/>
      <c r="S70" s="919"/>
      <c r="T70" s="920">
        <f>SUM(T71:T76)</f>
        <v>5250000</v>
      </c>
      <c r="U70" s="1203"/>
      <c r="V70" s="1204"/>
    </row>
    <row r="71" spans="2:22" ht="13.5" customHeight="1" x14ac:dyDescent="0.25">
      <c r="B71" s="2196"/>
      <c r="C71" s="1142"/>
      <c r="D71" s="1142"/>
      <c r="E71" s="2197"/>
      <c r="F71" s="1142"/>
      <c r="G71" s="1052"/>
      <c r="H71" s="1052"/>
      <c r="I71" s="1052"/>
      <c r="J71" s="1142"/>
      <c r="K71" s="1142"/>
      <c r="L71" s="2225" t="s">
        <v>1122</v>
      </c>
      <c r="M71" s="1022">
        <f>5*11</f>
        <v>55</v>
      </c>
      <c r="N71" s="1057" t="s">
        <v>88</v>
      </c>
      <c r="O71" s="2226">
        <v>175000</v>
      </c>
      <c r="P71" s="2226">
        <f>O71*M71</f>
        <v>9625000</v>
      </c>
      <c r="Q71" s="1022">
        <f>5*6</f>
        <v>30</v>
      </c>
      <c r="R71" s="919" t="s">
        <v>88</v>
      </c>
      <c r="S71" s="920">
        <v>175000</v>
      </c>
      <c r="T71" s="1190">
        <f t="shared" ref="T71" si="9">Q71*S71</f>
        <v>5250000</v>
      </c>
      <c r="U71" s="1195"/>
      <c r="V71" s="1194"/>
    </row>
    <row r="72" spans="2:22" ht="28" customHeight="1" x14ac:dyDescent="0.25">
      <c r="B72" s="2196"/>
      <c r="C72" s="1142"/>
      <c r="D72" s="1142"/>
      <c r="E72" s="2197"/>
      <c r="F72" s="1142"/>
      <c r="G72" s="1052"/>
      <c r="H72" s="1052"/>
      <c r="I72" s="1052"/>
      <c r="J72" s="1142"/>
      <c r="K72" s="1142"/>
      <c r="L72" s="2225" t="s">
        <v>901</v>
      </c>
      <c r="M72" s="1022">
        <f>4*3</f>
        <v>12</v>
      </c>
      <c r="N72" s="1020" t="s">
        <v>88</v>
      </c>
      <c r="O72" s="1042">
        <v>175000</v>
      </c>
      <c r="P72" s="1042">
        <f>O72*M72</f>
        <v>2100000</v>
      </c>
      <c r="Q72" s="2256"/>
      <c r="R72" s="1285"/>
      <c r="S72" s="1028"/>
      <c r="T72" s="1190"/>
      <c r="U72" s="1195"/>
      <c r="V72" s="1194"/>
    </row>
    <row r="73" spans="2:22" ht="13.5" customHeight="1" x14ac:dyDescent="0.25">
      <c r="B73" s="2196"/>
      <c r="C73" s="1142"/>
      <c r="D73" s="1142"/>
      <c r="E73" s="2197"/>
      <c r="F73" s="1142"/>
      <c r="G73" s="1052"/>
      <c r="H73" s="1052"/>
      <c r="I73" s="1052"/>
      <c r="J73" s="1142"/>
      <c r="K73" s="1142"/>
      <c r="L73" s="2077" t="s">
        <v>902</v>
      </c>
      <c r="M73" s="1041">
        <v>5</v>
      </c>
      <c r="N73" s="2070" t="s">
        <v>108</v>
      </c>
      <c r="O73" s="2078">
        <v>300000</v>
      </c>
      <c r="P73" s="2215">
        <f t="shared" ref="P73:P76" si="10">O73*M73</f>
        <v>1500000</v>
      </c>
      <c r="Q73" s="2256"/>
      <c r="R73" s="1285"/>
      <c r="S73" s="1028"/>
      <c r="T73" s="1190"/>
      <c r="U73" s="1195"/>
      <c r="V73" s="1194"/>
    </row>
    <row r="74" spans="2:22" ht="13.5" customHeight="1" x14ac:dyDescent="0.25">
      <c r="B74" s="2196"/>
      <c r="C74" s="1142"/>
      <c r="D74" s="1142"/>
      <c r="E74" s="2197"/>
      <c r="F74" s="1142"/>
      <c r="G74" s="1052"/>
      <c r="H74" s="1052"/>
      <c r="I74" s="1052"/>
      <c r="J74" s="1142"/>
      <c r="K74" s="1142"/>
      <c r="L74" s="2077" t="s">
        <v>903</v>
      </c>
      <c r="M74" s="1041">
        <v>5</v>
      </c>
      <c r="N74" s="2070" t="s">
        <v>108</v>
      </c>
      <c r="O74" s="2078">
        <v>300000</v>
      </c>
      <c r="P74" s="2215">
        <f t="shared" si="10"/>
        <v>1500000</v>
      </c>
      <c r="Q74" s="2256"/>
      <c r="R74" s="1285"/>
      <c r="S74" s="1028"/>
      <c r="T74" s="1190"/>
      <c r="U74" s="1195"/>
      <c r="V74" s="1194"/>
    </row>
    <row r="75" spans="2:22" ht="13.5" customHeight="1" x14ac:dyDescent="0.25">
      <c r="B75" s="2196"/>
      <c r="C75" s="1142"/>
      <c r="D75" s="1142"/>
      <c r="E75" s="2197"/>
      <c r="F75" s="1142"/>
      <c r="G75" s="1052"/>
      <c r="H75" s="1052"/>
      <c r="I75" s="1052"/>
      <c r="J75" s="1142"/>
      <c r="K75" s="1142"/>
      <c r="L75" s="2079" t="s">
        <v>904</v>
      </c>
      <c r="M75" s="1041">
        <v>5</v>
      </c>
      <c r="N75" s="2070" t="s">
        <v>108</v>
      </c>
      <c r="O75" s="2078">
        <v>300000</v>
      </c>
      <c r="P75" s="2215">
        <f t="shared" si="10"/>
        <v>1500000</v>
      </c>
      <c r="Q75" s="2256"/>
      <c r="R75" s="1285"/>
      <c r="S75" s="1028"/>
      <c r="T75" s="1190"/>
      <c r="U75" s="1195"/>
      <c r="V75" s="1194"/>
    </row>
    <row r="76" spans="2:22" ht="13.5" customHeight="1" x14ac:dyDescent="0.25">
      <c r="B76" s="2196"/>
      <c r="C76" s="1142"/>
      <c r="D76" s="1142"/>
      <c r="E76" s="2197"/>
      <c r="F76" s="1142"/>
      <c r="G76" s="1052"/>
      <c r="H76" s="1052"/>
      <c r="I76" s="1052"/>
      <c r="J76" s="1142"/>
      <c r="K76" s="1142"/>
      <c r="L76" s="2077" t="s">
        <v>905</v>
      </c>
      <c r="M76" s="1041">
        <v>5</v>
      </c>
      <c r="N76" s="2070" t="s">
        <v>108</v>
      </c>
      <c r="O76" s="2078">
        <v>100000</v>
      </c>
      <c r="P76" s="2215">
        <f t="shared" si="10"/>
        <v>500000</v>
      </c>
      <c r="Q76" s="2256"/>
      <c r="R76" s="1285"/>
      <c r="S76" s="1028"/>
      <c r="T76" s="1028"/>
      <c r="U76" s="1195"/>
      <c r="V76" s="1194"/>
    </row>
    <row r="77" spans="2:22" ht="13.5" customHeight="1" x14ac:dyDescent="0.25">
      <c r="B77" s="2196"/>
      <c r="C77" s="1142"/>
      <c r="D77" s="1142"/>
      <c r="E77" s="2197"/>
      <c r="F77" s="2197"/>
      <c r="G77" s="1052"/>
      <c r="H77" s="1052"/>
      <c r="I77" s="1052"/>
      <c r="J77" s="1142"/>
      <c r="K77" s="1142"/>
      <c r="L77" s="2208"/>
      <c r="M77" s="2209"/>
      <c r="N77" s="1057"/>
      <c r="O77" s="2226"/>
      <c r="P77" s="2226"/>
      <c r="Q77" s="2254"/>
      <c r="R77" s="1284"/>
      <c r="S77" s="1284"/>
      <c r="T77" s="1261"/>
      <c r="U77" s="1195"/>
      <c r="V77" s="1194"/>
    </row>
    <row r="78" spans="2:22" ht="13.5" customHeight="1" x14ac:dyDescent="0.25">
      <c r="B78" s="486">
        <v>1</v>
      </c>
      <c r="C78" s="487" t="s">
        <v>239</v>
      </c>
      <c r="D78" s="487" t="s">
        <v>84</v>
      </c>
      <c r="E78" s="1716">
        <v>15</v>
      </c>
      <c r="F78" s="1732" t="s">
        <v>109</v>
      </c>
      <c r="G78" s="1052">
        <v>5</v>
      </c>
      <c r="H78" s="1052">
        <v>2</v>
      </c>
      <c r="I78" s="1052">
        <v>2</v>
      </c>
      <c r="J78" s="1052"/>
      <c r="K78" s="1052"/>
      <c r="L78" s="2227" t="s">
        <v>64</v>
      </c>
      <c r="M78" s="1043"/>
      <c r="N78" s="1057"/>
      <c r="O78" s="1057"/>
      <c r="P78" s="2267">
        <f>P79+P94+P121+P129</f>
        <v>299079860</v>
      </c>
      <c r="Q78" s="2258"/>
      <c r="R78" s="919"/>
      <c r="S78" s="919"/>
      <c r="T78" s="1276">
        <f>SUM(T79+T94+T121+T129)</f>
        <v>163477430</v>
      </c>
      <c r="U78" s="1195">
        <f>SUM(T78)-P78</f>
        <v>-135602430</v>
      </c>
      <c r="V78" s="1194"/>
    </row>
    <row r="79" spans="2:22" ht="13.5" customHeight="1" x14ac:dyDescent="0.25">
      <c r="B79" s="486">
        <v>1</v>
      </c>
      <c r="C79" s="487" t="s">
        <v>239</v>
      </c>
      <c r="D79" s="487" t="s">
        <v>84</v>
      </c>
      <c r="E79" s="1716">
        <v>15</v>
      </c>
      <c r="F79" s="1732" t="s">
        <v>109</v>
      </c>
      <c r="G79" s="1052">
        <v>5</v>
      </c>
      <c r="H79" s="1052">
        <v>2</v>
      </c>
      <c r="I79" s="1052">
        <v>2</v>
      </c>
      <c r="J79" s="1142" t="s">
        <v>84</v>
      </c>
      <c r="K79" s="1052"/>
      <c r="L79" s="2228" t="s">
        <v>55</v>
      </c>
      <c r="M79" s="1043"/>
      <c r="N79" s="2229"/>
      <c r="O79" s="2229"/>
      <c r="P79" s="2267">
        <f>SUM(P80)</f>
        <v>879860</v>
      </c>
      <c r="Q79" s="2258"/>
      <c r="R79" s="1275"/>
      <c r="S79" s="1275"/>
      <c r="T79" s="1276">
        <f>T80</f>
        <v>439930</v>
      </c>
      <c r="U79" s="1195"/>
      <c r="V79" s="1194"/>
    </row>
    <row r="80" spans="2:22" ht="15.5" customHeight="1" x14ac:dyDescent="0.25">
      <c r="B80" s="486">
        <v>1</v>
      </c>
      <c r="C80" s="487" t="s">
        <v>239</v>
      </c>
      <c r="D80" s="487" t="s">
        <v>84</v>
      </c>
      <c r="E80" s="1716">
        <v>15</v>
      </c>
      <c r="F80" s="1732" t="s">
        <v>109</v>
      </c>
      <c r="G80" s="1052">
        <v>5</v>
      </c>
      <c r="H80" s="1052">
        <v>2</v>
      </c>
      <c r="I80" s="1052">
        <v>2</v>
      </c>
      <c r="J80" s="1142" t="s">
        <v>84</v>
      </c>
      <c r="K80" s="1142" t="s">
        <v>84</v>
      </c>
      <c r="L80" s="2228" t="s">
        <v>70</v>
      </c>
      <c r="M80" s="1043"/>
      <c r="N80" s="1057"/>
      <c r="O80" s="1057"/>
      <c r="P80" s="2267">
        <f>SUM(P81:P92)</f>
        <v>879860</v>
      </c>
      <c r="Q80" s="2258"/>
      <c r="R80" s="919"/>
      <c r="S80" s="919"/>
      <c r="T80" s="1276">
        <f>SUM(T81:T90)</f>
        <v>439930</v>
      </c>
      <c r="U80" s="1195"/>
      <c r="V80" s="1194"/>
    </row>
    <row r="81" spans="2:22" ht="13.5" customHeight="1" x14ac:dyDescent="0.25">
      <c r="B81" s="2217"/>
      <c r="C81" s="2218"/>
      <c r="D81" s="2218"/>
      <c r="E81" s="2219"/>
      <c r="F81" s="2219"/>
      <c r="G81" s="2220"/>
      <c r="H81" s="2220"/>
      <c r="I81" s="2220"/>
      <c r="J81" s="2218"/>
      <c r="K81" s="2218"/>
      <c r="L81" s="2230" t="s">
        <v>906</v>
      </c>
      <c r="M81" s="1171">
        <v>2</v>
      </c>
      <c r="N81" s="2214" t="s">
        <v>59</v>
      </c>
      <c r="O81" s="2231">
        <v>65000</v>
      </c>
      <c r="P81" s="2231">
        <f t="shared" ref="P81:P92" si="11">O81*M81</f>
        <v>130000</v>
      </c>
      <c r="Q81" s="2259">
        <v>1</v>
      </c>
      <c r="R81" s="1285" t="s">
        <v>59</v>
      </c>
      <c r="S81" s="1288">
        <v>65000</v>
      </c>
      <c r="T81" s="961">
        <f t="shared" ref="T81:T90" si="12">Q81*S81</f>
        <v>65000</v>
      </c>
      <c r="U81" s="1195">
        <f>SUM(T81)-P81</f>
        <v>-65000</v>
      </c>
      <c r="V81" s="1194"/>
    </row>
    <row r="82" spans="2:22" ht="13.5" customHeight="1" x14ac:dyDescent="0.25">
      <c r="B82" s="2217"/>
      <c r="C82" s="2218"/>
      <c r="D82" s="2218"/>
      <c r="E82" s="2219"/>
      <c r="F82" s="2219"/>
      <c r="G82" s="2220"/>
      <c r="H82" s="2220"/>
      <c r="I82" s="2220"/>
      <c r="J82" s="2218"/>
      <c r="K82" s="2218"/>
      <c r="L82" s="2230" t="s">
        <v>907</v>
      </c>
      <c r="M82" s="1171">
        <v>1</v>
      </c>
      <c r="N82" s="2214" t="s">
        <v>59</v>
      </c>
      <c r="O82" s="2231">
        <v>60000</v>
      </c>
      <c r="P82" s="2231">
        <f t="shared" si="11"/>
        <v>60000</v>
      </c>
      <c r="Q82" s="2259">
        <v>1</v>
      </c>
      <c r="R82" s="1285" t="s">
        <v>59</v>
      </c>
      <c r="S82" s="1288">
        <v>60000</v>
      </c>
      <c r="T82" s="961">
        <f t="shared" si="12"/>
        <v>60000</v>
      </c>
      <c r="U82" s="1195"/>
      <c r="V82" s="1194"/>
    </row>
    <row r="83" spans="2:22" ht="13.5" customHeight="1" x14ac:dyDescent="0.25">
      <c r="B83" s="2217"/>
      <c r="C83" s="2218"/>
      <c r="D83" s="2218"/>
      <c r="E83" s="2219"/>
      <c r="F83" s="2219"/>
      <c r="G83" s="2220"/>
      <c r="H83" s="2220"/>
      <c r="I83" s="2220"/>
      <c r="J83" s="2218"/>
      <c r="K83" s="2218"/>
      <c r="L83" s="2230" t="s">
        <v>908</v>
      </c>
      <c r="M83" s="1171">
        <v>1</v>
      </c>
      <c r="N83" s="2214" t="s">
        <v>621</v>
      </c>
      <c r="O83" s="2231">
        <v>28000</v>
      </c>
      <c r="P83" s="2231">
        <f t="shared" si="11"/>
        <v>28000</v>
      </c>
      <c r="Q83" s="2259">
        <v>1</v>
      </c>
      <c r="R83" s="1285" t="s">
        <v>621</v>
      </c>
      <c r="S83" s="1288">
        <v>28000</v>
      </c>
      <c r="T83" s="1190">
        <f t="shared" si="12"/>
        <v>28000</v>
      </c>
      <c r="U83" s="1195">
        <f>SUM(T83)-P83</f>
        <v>0</v>
      </c>
      <c r="V83" s="1194"/>
    </row>
    <row r="84" spans="2:22" ht="13.5" customHeight="1" x14ac:dyDescent="0.25">
      <c r="B84" s="2217"/>
      <c r="C84" s="2218"/>
      <c r="D84" s="2218"/>
      <c r="E84" s="2219"/>
      <c r="F84" s="2219"/>
      <c r="G84" s="2220"/>
      <c r="H84" s="2220"/>
      <c r="I84" s="2220"/>
      <c r="J84" s="2218"/>
      <c r="K84" s="2218"/>
      <c r="L84" s="2230" t="s">
        <v>909</v>
      </c>
      <c r="M84" s="1171">
        <v>1</v>
      </c>
      <c r="N84" s="2214" t="s">
        <v>621</v>
      </c>
      <c r="O84" s="2231">
        <v>67000</v>
      </c>
      <c r="P84" s="2231">
        <f t="shared" si="11"/>
        <v>67000</v>
      </c>
      <c r="Q84" s="2259">
        <v>1</v>
      </c>
      <c r="R84" s="1285" t="s">
        <v>621</v>
      </c>
      <c r="S84" s="1288">
        <v>67000</v>
      </c>
      <c r="T84" s="1190">
        <f t="shared" si="12"/>
        <v>67000</v>
      </c>
      <c r="U84" s="1195"/>
      <c r="V84" s="1194"/>
    </row>
    <row r="85" spans="2:22" ht="13.5" customHeight="1" x14ac:dyDescent="0.25">
      <c r="B85" s="2217"/>
      <c r="C85" s="2218"/>
      <c r="D85" s="2218"/>
      <c r="E85" s="2219"/>
      <c r="F85" s="2219"/>
      <c r="G85" s="2220"/>
      <c r="H85" s="2220"/>
      <c r="I85" s="2220"/>
      <c r="J85" s="2218"/>
      <c r="K85" s="2218"/>
      <c r="L85" s="2230" t="s">
        <v>910</v>
      </c>
      <c r="M85" s="1171">
        <v>1</v>
      </c>
      <c r="N85" s="2214" t="s">
        <v>621</v>
      </c>
      <c r="O85" s="2231">
        <v>16000</v>
      </c>
      <c r="P85" s="2231">
        <f>O85*M85</f>
        <v>16000</v>
      </c>
      <c r="Q85" s="2259">
        <v>1</v>
      </c>
      <c r="R85" s="1285" t="s">
        <v>621</v>
      </c>
      <c r="S85" s="1288">
        <v>16000</v>
      </c>
      <c r="T85" s="1190">
        <f t="shared" si="12"/>
        <v>16000</v>
      </c>
      <c r="U85" s="1195"/>
      <c r="V85" s="1194"/>
    </row>
    <row r="86" spans="2:22" ht="13.5" customHeight="1" x14ac:dyDescent="0.25">
      <c r="B86" s="2217"/>
      <c r="C86" s="2218"/>
      <c r="D86" s="2218"/>
      <c r="E86" s="2219"/>
      <c r="F86" s="2219"/>
      <c r="G86" s="2220"/>
      <c r="H86" s="2220"/>
      <c r="I86" s="2220"/>
      <c r="J86" s="2218"/>
      <c r="K86" s="2218"/>
      <c r="L86" s="2230" t="s">
        <v>911</v>
      </c>
      <c r="M86" s="1171">
        <v>2</v>
      </c>
      <c r="N86" s="2214" t="s">
        <v>621</v>
      </c>
      <c r="O86" s="2231">
        <v>25000</v>
      </c>
      <c r="P86" s="2231">
        <f t="shared" si="11"/>
        <v>50000</v>
      </c>
      <c r="Q86" s="2259">
        <v>1</v>
      </c>
      <c r="R86" s="1285" t="s">
        <v>621</v>
      </c>
      <c r="S86" s="1288">
        <v>25000</v>
      </c>
      <c r="T86" s="1190">
        <f t="shared" si="12"/>
        <v>25000</v>
      </c>
      <c r="U86" s="1195">
        <f>SUM(T86)-P86</f>
        <v>-25000</v>
      </c>
      <c r="V86" s="1194"/>
    </row>
    <row r="87" spans="2:22" ht="13.5" customHeight="1" x14ac:dyDescent="0.25">
      <c r="B87" s="2217"/>
      <c r="C87" s="2218"/>
      <c r="D87" s="2218"/>
      <c r="E87" s="2219"/>
      <c r="F87" s="2219"/>
      <c r="G87" s="2220"/>
      <c r="H87" s="2220"/>
      <c r="I87" s="2220"/>
      <c r="J87" s="2218"/>
      <c r="K87" s="2218"/>
      <c r="L87" s="2230" t="s">
        <v>912</v>
      </c>
      <c r="M87" s="1171">
        <v>2</v>
      </c>
      <c r="N87" s="2214" t="s">
        <v>621</v>
      </c>
      <c r="O87" s="2231">
        <v>13000</v>
      </c>
      <c r="P87" s="2231">
        <f>O87*M87</f>
        <v>26000</v>
      </c>
      <c r="Q87" s="2259">
        <v>1</v>
      </c>
      <c r="R87" s="1285" t="s">
        <v>621</v>
      </c>
      <c r="S87" s="1288">
        <v>13000</v>
      </c>
      <c r="T87" s="1190">
        <f t="shared" si="12"/>
        <v>13000</v>
      </c>
      <c r="U87" s="1193"/>
      <c r="V87" s="1194"/>
    </row>
    <row r="88" spans="2:22" ht="13.5" customHeight="1" x14ac:dyDescent="0.25">
      <c r="B88" s="2217"/>
      <c r="C88" s="2218"/>
      <c r="D88" s="2218"/>
      <c r="E88" s="2219"/>
      <c r="F88" s="2219"/>
      <c r="G88" s="2220"/>
      <c r="H88" s="2220"/>
      <c r="I88" s="2220"/>
      <c r="J88" s="2218"/>
      <c r="K88" s="2218"/>
      <c r="L88" s="2230" t="s">
        <v>913</v>
      </c>
      <c r="M88" s="1171">
        <v>12</v>
      </c>
      <c r="N88" s="2214" t="s">
        <v>445</v>
      </c>
      <c r="O88" s="2231">
        <v>11000</v>
      </c>
      <c r="P88" s="2231">
        <f t="shared" si="11"/>
        <v>132000</v>
      </c>
      <c r="Q88" s="2259">
        <v>1</v>
      </c>
      <c r="R88" s="1285" t="s">
        <v>445</v>
      </c>
      <c r="S88" s="1288">
        <v>11000</v>
      </c>
      <c r="T88" s="1190">
        <f t="shared" si="12"/>
        <v>11000</v>
      </c>
      <c r="U88" s="1193"/>
      <c r="V88" s="1194"/>
    </row>
    <row r="89" spans="2:22" ht="13.5" customHeight="1" x14ac:dyDescent="0.25">
      <c r="B89" s="2217"/>
      <c r="C89" s="2218"/>
      <c r="D89" s="2218"/>
      <c r="E89" s="2219"/>
      <c r="F89" s="2219"/>
      <c r="G89" s="2220"/>
      <c r="H89" s="2220"/>
      <c r="I89" s="2220"/>
      <c r="J89" s="2218"/>
      <c r="K89" s="2218"/>
      <c r="L89" s="2230" t="s">
        <v>725</v>
      </c>
      <c r="M89" s="1171">
        <v>3</v>
      </c>
      <c r="N89" s="2214" t="s">
        <v>621</v>
      </c>
      <c r="O89" s="2231">
        <v>30620</v>
      </c>
      <c r="P89" s="2231">
        <f t="shared" si="11"/>
        <v>91860</v>
      </c>
      <c r="Q89" s="2259">
        <v>1</v>
      </c>
      <c r="R89" s="1285" t="s">
        <v>621</v>
      </c>
      <c r="S89" s="1288">
        <v>30620</v>
      </c>
      <c r="T89" s="1190">
        <f t="shared" si="12"/>
        <v>30620</v>
      </c>
      <c r="U89" s="1193"/>
      <c r="V89" s="1194"/>
    </row>
    <row r="90" spans="2:22" ht="13.5" customHeight="1" x14ac:dyDescent="0.25">
      <c r="B90" s="2217"/>
      <c r="C90" s="2218"/>
      <c r="D90" s="2218"/>
      <c r="E90" s="2219"/>
      <c r="F90" s="2219"/>
      <c r="G90" s="2220"/>
      <c r="H90" s="2220"/>
      <c r="I90" s="2220"/>
      <c r="J90" s="2218"/>
      <c r="K90" s="2218"/>
      <c r="L90" s="2230" t="s">
        <v>914</v>
      </c>
      <c r="M90" s="1171">
        <v>1</v>
      </c>
      <c r="N90" s="2214" t="s">
        <v>147</v>
      </c>
      <c r="O90" s="2231">
        <v>128000</v>
      </c>
      <c r="P90" s="2231">
        <f t="shared" si="11"/>
        <v>128000</v>
      </c>
      <c r="Q90" s="2259">
        <v>1</v>
      </c>
      <c r="R90" s="1285" t="s">
        <v>147</v>
      </c>
      <c r="S90" s="1288">
        <v>124310</v>
      </c>
      <c r="T90" s="1190">
        <f t="shared" si="12"/>
        <v>124310</v>
      </c>
      <c r="U90" s="1193"/>
      <c r="V90" s="1194"/>
    </row>
    <row r="91" spans="2:22" ht="13.5" customHeight="1" x14ac:dyDescent="0.25">
      <c r="B91" s="2217"/>
      <c r="C91" s="2218"/>
      <c r="D91" s="2218"/>
      <c r="E91" s="2219"/>
      <c r="F91" s="2219"/>
      <c r="G91" s="2220"/>
      <c r="H91" s="2220"/>
      <c r="I91" s="2220"/>
      <c r="J91" s="2218"/>
      <c r="K91" s="2218"/>
      <c r="L91" s="2230" t="s">
        <v>1123</v>
      </c>
      <c r="M91" s="1171">
        <v>3</v>
      </c>
      <c r="N91" s="2214" t="s">
        <v>577</v>
      </c>
      <c r="O91" s="2231">
        <v>31000</v>
      </c>
      <c r="P91" s="2231">
        <f t="shared" si="11"/>
        <v>93000</v>
      </c>
      <c r="Q91" s="2259"/>
      <c r="R91" s="1285"/>
      <c r="S91" s="1288"/>
      <c r="T91" s="1190"/>
      <c r="U91" s="1195"/>
      <c r="V91" s="1194"/>
    </row>
    <row r="92" spans="2:22" ht="13.5" customHeight="1" x14ac:dyDescent="0.25">
      <c r="B92" s="2217"/>
      <c r="C92" s="2218"/>
      <c r="D92" s="2218"/>
      <c r="E92" s="2219"/>
      <c r="F92" s="2219"/>
      <c r="G92" s="2220"/>
      <c r="H92" s="2220"/>
      <c r="I92" s="2220"/>
      <c r="J92" s="2218"/>
      <c r="K92" s="2218"/>
      <c r="L92" s="2230" t="s">
        <v>1124</v>
      </c>
      <c r="M92" s="1171">
        <v>8</v>
      </c>
      <c r="N92" s="2214" t="s">
        <v>445</v>
      </c>
      <c r="O92" s="2231">
        <v>7250</v>
      </c>
      <c r="P92" s="2231">
        <f t="shared" si="11"/>
        <v>58000</v>
      </c>
      <c r="Q92" s="2259"/>
      <c r="R92" s="1285"/>
      <c r="S92" s="1288"/>
      <c r="T92" s="1190"/>
      <c r="U92" s="1195"/>
      <c r="V92" s="1194"/>
    </row>
    <row r="93" spans="2:22" ht="13.5" customHeight="1" x14ac:dyDescent="0.25">
      <c r="B93" s="2196"/>
      <c r="C93" s="1142"/>
      <c r="D93" s="1142"/>
      <c r="E93" s="2197"/>
      <c r="F93" s="1142"/>
      <c r="G93" s="1052"/>
      <c r="H93" s="1052"/>
      <c r="I93" s="1052"/>
      <c r="J93" s="1052"/>
      <c r="K93" s="1142"/>
      <c r="L93" s="2232"/>
      <c r="M93" s="855"/>
      <c r="N93" s="856"/>
      <c r="O93" s="857"/>
      <c r="P93" s="857"/>
      <c r="Q93" s="2259"/>
      <c r="R93" s="1285"/>
      <c r="S93" s="1288"/>
      <c r="T93" s="1190"/>
      <c r="U93" s="1195"/>
      <c r="V93" s="1194"/>
    </row>
    <row r="94" spans="2:22" ht="13.5" customHeight="1" x14ac:dyDescent="0.25">
      <c r="B94" s="486">
        <v>1</v>
      </c>
      <c r="C94" s="487" t="s">
        <v>239</v>
      </c>
      <c r="D94" s="487" t="s">
        <v>84</v>
      </c>
      <c r="E94" s="1716">
        <v>15</v>
      </c>
      <c r="F94" s="1732" t="s">
        <v>109</v>
      </c>
      <c r="G94" s="473">
        <v>5</v>
      </c>
      <c r="H94" s="473">
        <v>2</v>
      </c>
      <c r="I94" s="473">
        <v>2</v>
      </c>
      <c r="J94" s="487" t="s">
        <v>97</v>
      </c>
      <c r="K94" s="489"/>
      <c r="L94" s="2009" t="s">
        <v>57</v>
      </c>
      <c r="M94" s="850"/>
      <c r="N94" s="1914"/>
      <c r="O94" s="1915"/>
      <c r="P94" s="1931">
        <f>SUM(P95)</f>
        <v>264600000</v>
      </c>
      <c r="Q94" s="2261"/>
      <c r="R94" s="1290"/>
      <c r="S94" s="1291"/>
      <c r="T94" s="912">
        <f>T95</f>
        <v>156400000</v>
      </c>
      <c r="U94" s="1195">
        <f>SUM(T94)-P94</f>
        <v>-108200000</v>
      </c>
      <c r="V94" s="1194"/>
    </row>
    <row r="95" spans="2:22" ht="13.5" customHeight="1" x14ac:dyDescent="0.25">
      <c r="B95" s="486">
        <v>1</v>
      </c>
      <c r="C95" s="487" t="s">
        <v>239</v>
      </c>
      <c r="D95" s="487" t="s">
        <v>84</v>
      </c>
      <c r="E95" s="1716">
        <v>15</v>
      </c>
      <c r="F95" s="1732" t="s">
        <v>109</v>
      </c>
      <c r="G95" s="1052">
        <v>5</v>
      </c>
      <c r="H95" s="1052">
        <v>2</v>
      </c>
      <c r="I95" s="1052">
        <v>2</v>
      </c>
      <c r="J95" s="1142" t="s">
        <v>97</v>
      </c>
      <c r="K95" s="1052">
        <v>27</v>
      </c>
      <c r="L95" s="2233" t="s">
        <v>467</v>
      </c>
      <c r="M95" s="1043"/>
      <c r="N95" s="1057"/>
      <c r="O95" s="2226"/>
      <c r="P95" s="2226">
        <f>SUM(P102+P108+P111+P114+P105+P116+P118)</f>
        <v>264600000</v>
      </c>
      <c r="Q95" s="2258"/>
      <c r="R95" s="919"/>
      <c r="S95" s="920"/>
      <c r="T95" s="920">
        <f>SUM(T96+T98+T100+T102)</f>
        <v>156400000</v>
      </c>
      <c r="U95" s="1193"/>
      <c r="V95" s="1194"/>
    </row>
    <row r="96" spans="2:22" ht="13.5" customHeight="1" x14ac:dyDescent="0.25">
      <c r="B96" s="47"/>
      <c r="C96" s="6"/>
      <c r="D96" s="6"/>
      <c r="E96" s="2211"/>
      <c r="F96" s="2212"/>
      <c r="G96" s="1052"/>
      <c r="H96" s="1052"/>
      <c r="I96" s="1052"/>
      <c r="J96" s="1142"/>
      <c r="K96" s="1052"/>
      <c r="L96" s="1279" t="s">
        <v>915</v>
      </c>
      <c r="M96" s="1209"/>
      <c r="N96" s="1277"/>
      <c r="O96" s="1278"/>
      <c r="P96" s="921"/>
      <c r="Q96" s="1209"/>
      <c r="R96" s="1277"/>
      <c r="S96" s="1278"/>
      <c r="T96" s="920">
        <f>T97</f>
        <v>21600000</v>
      </c>
      <c r="U96" s="1193"/>
      <c r="V96" s="1194"/>
    </row>
    <row r="97" spans="2:22" ht="27.5" customHeight="1" x14ac:dyDescent="0.25">
      <c r="B97" s="47"/>
      <c r="C97" s="6"/>
      <c r="D97" s="6"/>
      <c r="E97" s="2211"/>
      <c r="F97" s="2212"/>
      <c r="G97" s="1052"/>
      <c r="H97" s="1052"/>
      <c r="I97" s="1052"/>
      <c r="J97" s="1142"/>
      <c r="K97" s="1052"/>
      <c r="L97" s="1279" t="s">
        <v>916</v>
      </c>
      <c r="M97" s="1198"/>
      <c r="N97" s="909"/>
      <c r="O97" s="1084"/>
      <c r="P97" s="1187"/>
      <c r="Q97" s="1198">
        <v>72</v>
      </c>
      <c r="R97" s="909" t="s">
        <v>454</v>
      </c>
      <c r="S97" s="1084">
        <v>300000</v>
      </c>
      <c r="T97" s="1190">
        <f t="shared" ref="T97" si="13">Q97*S97</f>
        <v>21600000</v>
      </c>
      <c r="U97" s="1193"/>
      <c r="V97" s="1194"/>
    </row>
    <row r="98" spans="2:22" ht="13.5" customHeight="1" x14ac:dyDescent="0.25">
      <c r="B98" s="47"/>
      <c r="C98" s="6"/>
      <c r="D98" s="6"/>
      <c r="E98" s="2211"/>
      <c r="F98" s="2212"/>
      <c r="G98" s="1052"/>
      <c r="H98" s="1052"/>
      <c r="I98" s="1052"/>
      <c r="J98" s="1142"/>
      <c r="K98" s="1052"/>
      <c r="L98" s="1279" t="s">
        <v>917</v>
      </c>
      <c r="M98" s="1209"/>
      <c r="N98" s="1277"/>
      <c r="O98" s="1278"/>
      <c r="P98" s="921"/>
      <c r="Q98" s="1209"/>
      <c r="R98" s="1277"/>
      <c r="S98" s="1278"/>
      <c r="T98" s="920">
        <f>T99</f>
        <v>4000000</v>
      </c>
      <c r="U98" s="1193"/>
      <c r="V98" s="1194"/>
    </row>
    <row r="99" spans="2:22" ht="27" customHeight="1" x14ac:dyDescent="0.25">
      <c r="B99" s="47"/>
      <c r="C99" s="6"/>
      <c r="D99" s="6"/>
      <c r="E99" s="2211"/>
      <c r="F99" s="2212"/>
      <c r="G99" s="1052"/>
      <c r="H99" s="1052"/>
      <c r="I99" s="1052"/>
      <c r="J99" s="1142"/>
      <c r="K99" s="1052"/>
      <c r="L99" s="1279" t="s">
        <v>918</v>
      </c>
      <c r="M99" s="1198"/>
      <c r="N99" s="909"/>
      <c r="O99" s="1084"/>
      <c r="P99" s="1187"/>
      <c r="Q99" s="1198">
        <v>8</v>
      </c>
      <c r="R99" s="909" t="s">
        <v>454</v>
      </c>
      <c r="S99" s="1084">
        <v>500000</v>
      </c>
      <c r="T99" s="1190">
        <f t="shared" ref="T99" si="14">Q99*S99</f>
        <v>4000000</v>
      </c>
      <c r="U99" s="1193"/>
      <c r="V99" s="1194"/>
    </row>
    <row r="100" spans="2:22" ht="25" customHeight="1" x14ac:dyDescent="0.25">
      <c r="B100" s="47"/>
      <c r="C100" s="6"/>
      <c r="D100" s="6"/>
      <c r="E100" s="2211"/>
      <c r="F100" s="2212"/>
      <c r="G100" s="1052"/>
      <c r="H100" s="1052"/>
      <c r="I100" s="1052"/>
      <c r="J100" s="1142"/>
      <c r="K100" s="1052"/>
      <c r="L100" s="1279" t="s">
        <v>919</v>
      </c>
      <c r="M100" s="1209"/>
      <c r="N100" s="1277"/>
      <c r="O100" s="1278"/>
      <c r="P100" s="921"/>
      <c r="Q100" s="1209"/>
      <c r="R100" s="1277"/>
      <c r="S100" s="1278"/>
      <c r="T100" s="920">
        <f>T101</f>
        <v>10800000</v>
      </c>
      <c r="U100" s="1193"/>
      <c r="V100" s="1194"/>
    </row>
    <row r="101" spans="2:22" ht="26" customHeight="1" x14ac:dyDescent="0.25">
      <c r="B101" s="47"/>
      <c r="C101" s="6"/>
      <c r="D101" s="6"/>
      <c r="E101" s="2211"/>
      <c r="F101" s="2212"/>
      <c r="G101" s="1052"/>
      <c r="H101" s="1052"/>
      <c r="I101" s="1052"/>
      <c r="J101" s="1142"/>
      <c r="K101" s="1052"/>
      <c r="L101" s="1279" t="s">
        <v>920</v>
      </c>
      <c r="M101" s="1198"/>
      <c r="N101" s="909"/>
      <c r="O101" s="1084"/>
      <c r="P101" s="1187"/>
      <c r="Q101" s="1198">
        <v>36</v>
      </c>
      <c r="R101" s="909" t="s">
        <v>454</v>
      </c>
      <c r="S101" s="1084">
        <v>300000</v>
      </c>
      <c r="T101" s="1190">
        <f t="shared" ref="T101" si="15">Q101*S101</f>
        <v>10800000</v>
      </c>
      <c r="U101" s="1193"/>
      <c r="V101" s="1194"/>
    </row>
    <row r="102" spans="2:22" ht="13.5" customHeight="1" x14ac:dyDescent="0.25">
      <c r="B102" s="47"/>
      <c r="C102" s="6"/>
      <c r="D102" s="6"/>
      <c r="E102" s="2211"/>
      <c r="F102" s="2212"/>
      <c r="G102" s="1052"/>
      <c r="H102" s="1052"/>
      <c r="I102" s="1052"/>
      <c r="J102" s="1142"/>
      <c r="K102" s="1052"/>
      <c r="L102" s="2234" t="s">
        <v>921</v>
      </c>
      <c r="M102" s="1098"/>
      <c r="N102" s="2235"/>
      <c r="O102" s="2236"/>
      <c r="P102" s="2226">
        <f>SUM(P103:P104)</f>
        <v>165000000</v>
      </c>
      <c r="Q102" s="2262"/>
      <c r="R102" s="1277"/>
      <c r="S102" s="1278"/>
      <c r="T102" s="920">
        <f>T103</f>
        <v>120000000</v>
      </c>
      <c r="U102" s="1193"/>
      <c r="V102" s="1194"/>
    </row>
    <row r="103" spans="2:22" ht="16.5" customHeight="1" x14ac:dyDescent="0.25">
      <c r="B103" s="47"/>
      <c r="C103" s="6"/>
      <c r="D103" s="6"/>
      <c r="E103" s="2211"/>
      <c r="F103" s="2212"/>
      <c r="G103" s="1052"/>
      <c r="H103" s="1052"/>
      <c r="I103" s="1052"/>
      <c r="J103" s="1142"/>
      <c r="K103" s="1052"/>
      <c r="L103" s="1085" t="s">
        <v>922</v>
      </c>
      <c r="M103" s="1022">
        <f>2*12</f>
        <v>24</v>
      </c>
      <c r="N103" s="1326" t="s">
        <v>88</v>
      </c>
      <c r="O103" s="2237">
        <v>5000000</v>
      </c>
      <c r="P103" s="857">
        <f t="shared" ref="P103:P106" si="16">SUM(O103*M103)</f>
        <v>120000000</v>
      </c>
      <c r="Q103" s="2256">
        <v>24</v>
      </c>
      <c r="R103" s="909" t="s">
        <v>88</v>
      </c>
      <c r="S103" s="1084">
        <v>5000000</v>
      </c>
      <c r="T103" s="1190">
        <f t="shared" ref="T103" si="17">Q103*S103</f>
        <v>120000000</v>
      </c>
      <c r="U103" s="1193"/>
      <c r="V103" s="1194"/>
    </row>
    <row r="104" spans="2:22" ht="25" x14ac:dyDescent="0.25">
      <c r="B104" s="47"/>
      <c r="C104" s="6"/>
      <c r="D104" s="6"/>
      <c r="E104" s="2211"/>
      <c r="F104" s="2212"/>
      <c r="G104" s="1052"/>
      <c r="H104" s="1052"/>
      <c r="I104" s="1052"/>
      <c r="J104" s="1142"/>
      <c r="K104" s="1052"/>
      <c r="L104" s="2234" t="s">
        <v>923</v>
      </c>
      <c r="M104" s="1022">
        <f>3*3</f>
        <v>9</v>
      </c>
      <c r="N104" s="863" t="s">
        <v>88</v>
      </c>
      <c r="O104" s="1088">
        <v>5000000</v>
      </c>
      <c r="P104" s="891">
        <f t="shared" si="16"/>
        <v>45000000</v>
      </c>
      <c r="Q104" s="2256"/>
      <c r="R104" s="909"/>
      <c r="S104" s="1084"/>
      <c r="T104" s="1190"/>
      <c r="U104" s="1193"/>
      <c r="V104" s="1206"/>
    </row>
    <row r="105" spans="2:22" ht="25" x14ac:dyDescent="0.25">
      <c r="B105" s="47"/>
      <c r="C105" s="6"/>
      <c r="D105" s="6"/>
      <c r="E105" s="2211"/>
      <c r="F105" s="2212"/>
      <c r="G105" s="1052"/>
      <c r="H105" s="1052"/>
      <c r="I105" s="1052"/>
      <c r="J105" s="1142"/>
      <c r="K105" s="1052"/>
      <c r="L105" s="2234" t="s">
        <v>1125</v>
      </c>
      <c r="M105" s="1073"/>
      <c r="N105" s="863"/>
      <c r="O105" s="1088"/>
      <c r="P105" s="1042">
        <f>SUM(P106:P107)</f>
        <v>29000000</v>
      </c>
      <c r="Q105" s="2256"/>
      <c r="R105" s="909"/>
      <c r="S105" s="1084"/>
      <c r="T105" s="1190"/>
      <c r="U105" s="1207"/>
      <c r="V105" s="1208"/>
    </row>
    <row r="106" spans="2:22" x14ac:dyDescent="0.25">
      <c r="B106" s="47"/>
      <c r="C106" s="6"/>
      <c r="D106" s="6"/>
      <c r="E106" s="2211"/>
      <c r="F106" s="2212"/>
      <c r="G106" s="1052"/>
      <c r="H106" s="1052"/>
      <c r="I106" s="1052"/>
      <c r="J106" s="1142"/>
      <c r="K106" s="1052"/>
      <c r="L106" s="2234" t="s">
        <v>1126</v>
      </c>
      <c r="M106" s="1073">
        <v>2</v>
      </c>
      <c r="N106" s="863" t="s">
        <v>108</v>
      </c>
      <c r="O106" s="1088">
        <v>11500000</v>
      </c>
      <c r="P106" s="891">
        <f t="shared" si="16"/>
        <v>23000000</v>
      </c>
      <c r="Q106" s="2262"/>
      <c r="R106" s="1277"/>
      <c r="S106" s="1278"/>
      <c r="T106" s="920"/>
      <c r="U106" s="1207"/>
      <c r="V106" s="1208"/>
    </row>
    <row r="107" spans="2:22" x14ac:dyDescent="0.25">
      <c r="B107" s="2196"/>
      <c r="C107" s="1142"/>
      <c r="D107" s="1142"/>
      <c r="E107" s="2197"/>
      <c r="F107" s="1142"/>
      <c r="G107" s="1052"/>
      <c r="H107" s="1052"/>
      <c r="I107" s="1052"/>
      <c r="J107" s="1052"/>
      <c r="K107" s="1142"/>
      <c r="L107" s="2234" t="s">
        <v>1127</v>
      </c>
      <c r="M107" s="1073">
        <f>3*2*2</f>
        <v>12</v>
      </c>
      <c r="N107" s="863" t="s">
        <v>108</v>
      </c>
      <c r="O107" s="1088">
        <v>500000</v>
      </c>
      <c r="P107" s="891">
        <f>SUM(O107*M107)</f>
        <v>6000000</v>
      </c>
      <c r="Q107" s="2256"/>
      <c r="R107" s="909"/>
      <c r="S107" s="1084"/>
      <c r="T107" s="1190"/>
      <c r="U107" s="1207"/>
      <c r="V107" s="1208"/>
    </row>
    <row r="108" spans="2:22" ht="25" x14ac:dyDescent="0.25">
      <c r="B108" s="47"/>
      <c r="C108" s="6"/>
      <c r="D108" s="6"/>
      <c r="E108" s="645"/>
      <c r="F108" s="1365"/>
      <c r="G108" s="646"/>
      <c r="H108" s="646"/>
      <c r="I108" s="646"/>
      <c r="J108" s="116"/>
      <c r="K108" s="6"/>
      <c r="L108" s="2238" t="s">
        <v>1128</v>
      </c>
      <c r="M108" s="1043"/>
      <c r="N108" s="1057"/>
      <c r="O108" s="2226"/>
      <c r="P108" s="1042">
        <f>SUM(P109:P110)</f>
        <v>17500000</v>
      </c>
      <c r="Q108" s="2262"/>
      <c r="R108" s="1277"/>
      <c r="S108" s="1278"/>
      <c r="T108" s="920"/>
      <c r="U108" s="1207"/>
      <c r="V108" s="1208"/>
    </row>
    <row r="109" spans="2:22" x14ac:dyDescent="0.25">
      <c r="B109" s="47"/>
      <c r="C109" s="6"/>
      <c r="D109" s="6"/>
      <c r="E109" s="645"/>
      <c r="F109" s="1365"/>
      <c r="G109" s="646"/>
      <c r="H109" s="646"/>
      <c r="I109" s="646"/>
      <c r="J109" s="116"/>
      <c r="K109" s="6"/>
      <c r="L109" s="1085" t="s">
        <v>1129</v>
      </c>
      <c r="M109" s="1073">
        <v>1</v>
      </c>
      <c r="N109" s="1326" t="s">
        <v>108</v>
      </c>
      <c r="O109" s="2237">
        <v>11500000</v>
      </c>
      <c r="P109" s="857">
        <f t="shared" ref="P109:P110" si="18">SUM(O109*M109)</f>
        <v>11500000</v>
      </c>
      <c r="Q109" s="2256"/>
      <c r="R109" s="909"/>
      <c r="S109" s="1084"/>
      <c r="T109" s="1190"/>
      <c r="U109" s="1207"/>
      <c r="V109" s="1208"/>
    </row>
    <row r="110" spans="2:22" x14ac:dyDescent="0.25">
      <c r="B110" s="47"/>
      <c r="C110" s="6"/>
      <c r="D110" s="6"/>
      <c r="E110" s="645"/>
      <c r="F110" s="1365"/>
      <c r="G110" s="646"/>
      <c r="H110" s="646"/>
      <c r="I110" s="646"/>
      <c r="J110" s="116"/>
      <c r="K110" s="6"/>
      <c r="L110" s="2234" t="s">
        <v>1130</v>
      </c>
      <c r="M110" s="1073">
        <f>6*1*2</f>
        <v>12</v>
      </c>
      <c r="N110" s="863" t="s">
        <v>108</v>
      </c>
      <c r="O110" s="1088">
        <v>500000</v>
      </c>
      <c r="P110" s="891">
        <f t="shared" si="18"/>
        <v>6000000</v>
      </c>
      <c r="Q110" s="2262"/>
      <c r="R110" s="1277"/>
      <c r="S110" s="1278"/>
      <c r="T110" s="920"/>
      <c r="U110" s="1207"/>
      <c r="V110" s="1208"/>
    </row>
    <row r="111" spans="2:22" x14ac:dyDescent="0.25">
      <c r="B111" s="47"/>
      <c r="C111" s="6"/>
      <c r="D111" s="6"/>
      <c r="E111" s="645"/>
      <c r="F111" s="1365"/>
      <c r="G111" s="646"/>
      <c r="H111" s="646"/>
      <c r="I111" s="646"/>
      <c r="J111" s="116"/>
      <c r="K111" s="6"/>
      <c r="L111" s="2238" t="s">
        <v>1131</v>
      </c>
      <c r="M111" s="1043"/>
      <c r="N111" s="1057"/>
      <c r="O111" s="2226"/>
      <c r="P111" s="1042">
        <f>SUM(P112:P113)</f>
        <v>13500000</v>
      </c>
      <c r="Q111" s="2256"/>
      <c r="R111" s="909"/>
      <c r="S111" s="1084"/>
      <c r="T111" s="1190"/>
      <c r="U111" s="1207"/>
      <c r="V111" s="1208"/>
    </row>
    <row r="112" spans="2:22" x14ac:dyDescent="0.25">
      <c r="B112" s="47"/>
      <c r="C112" s="6"/>
      <c r="D112" s="6"/>
      <c r="E112" s="645"/>
      <c r="F112" s="1365"/>
      <c r="G112" s="646"/>
      <c r="H112" s="646"/>
      <c r="I112" s="646"/>
      <c r="J112" s="116"/>
      <c r="K112" s="6"/>
      <c r="L112" s="1085" t="s">
        <v>1129</v>
      </c>
      <c r="M112" s="1073">
        <v>1</v>
      </c>
      <c r="N112" s="1326" t="s">
        <v>108</v>
      </c>
      <c r="O112" s="2237">
        <v>11500000</v>
      </c>
      <c r="P112" s="857">
        <f t="shared" ref="P112:P113" si="19">SUM(O112*M112)</f>
        <v>11500000</v>
      </c>
      <c r="Q112" s="2262"/>
      <c r="R112" s="1277"/>
      <c r="S112" s="1278"/>
      <c r="T112" s="920"/>
      <c r="U112" s="1207"/>
      <c r="V112" s="1208"/>
    </row>
    <row r="113" spans="2:22" x14ac:dyDescent="0.25">
      <c r="B113" s="47"/>
      <c r="C113" s="6"/>
      <c r="D113" s="6"/>
      <c r="E113" s="645"/>
      <c r="F113" s="1365"/>
      <c r="G113" s="646"/>
      <c r="H113" s="646"/>
      <c r="I113" s="646"/>
      <c r="J113" s="116"/>
      <c r="K113" s="6"/>
      <c r="L113" s="2234" t="s">
        <v>1132</v>
      </c>
      <c r="M113" s="1073">
        <f>4*1*1</f>
        <v>4</v>
      </c>
      <c r="N113" s="863" t="s">
        <v>108</v>
      </c>
      <c r="O113" s="1088">
        <v>500000</v>
      </c>
      <c r="P113" s="891">
        <f t="shared" si="19"/>
        <v>2000000</v>
      </c>
      <c r="Q113" s="2256"/>
      <c r="R113" s="909"/>
      <c r="S113" s="1084"/>
      <c r="T113" s="1190"/>
      <c r="U113" s="1207"/>
      <c r="V113" s="1208"/>
    </row>
    <row r="114" spans="2:22" x14ac:dyDescent="0.25">
      <c r="B114" s="47"/>
      <c r="C114" s="6"/>
      <c r="D114" s="6"/>
      <c r="E114" s="645"/>
      <c r="F114" s="1365"/>
      <c r="G114" s="646"/>
      <c r="H114" s="646"/>
      <c r="I114" s="646"/>
      <c r="J114" s="116"/>
      <c r="K114" s="6"/>
      <c r="L114" s="2233" t="s">
        <v>1133</v>
      </c>
      <c r="M114" s="1043"/>
      <c r="N114" s="1057"/>
      <c r="O114" s="2226"/>
      <c r="P114" s="1042">
        <f>SUM(P115:P115)</f>
        <v>9000000</v>
      </c>
      <c r="Q114" s="2262"/>
      <c r="R114" s="1277"/>
      <c r="S114" s="1278"/>
      <c r="T114" s="920"/>
      <c r="U114" s="1207"/>
      <c r="V114" s="1208"/>
    </row>
    <row r="115" spans="2:22" x14ac:dyDescent="0.25">
      <c r="B115" s="47"/>
      <c r="C115" s="6"/>
      <c r="D115" s="6"/>
      <c r="E115" s="645"/>
      <c r="F115" s="1365"/>
      <c r="G115" s="646"/>
      <c r="H115" s="646"/>
      <c r="I115" s="646"/>
      <c r="J115" s="116"/>
      <c r="K115" s="6"/>
      <c r="L115" s="2234" t="s">
        <v>1134</v>
      </c>
      <c r="M115" s="1073">
        <f>2*3*3</f>
        <v>18</v>
      </c>
      <c r="N115" s="863" t="s">
        <v>108</v>
      </c>
      <c r="O115" s="1088">
        <v>500000</v>
      </c>
      <c r="P115" s="891">
        <f t="shared" ref="P115" si="20">SUM(O115*M115)</f>
        <v>9000000</v>
      </c>
      <c r="Q115" s="2256"/>
      <c r="R115" s="909"/>
      <c r="S115" s="1084"/>
      <c r="T115" s="1190"/>
      <c r="U115" s="1207"/>
      <c r="V115" s="1208"/>
    </row>
    <row r="116" spans="2:22" x14ac:dyDescent="0.25">
      <c r="B116" s="47"/>
      <c r="C116" s="6"/>
      <c r="D116" s="6"/>
      <c r="E116" s="645"/>
      <c r="F116" s="1365"/>
      <c r="G116" s="646"/>
      <c r="H116" s="646"/>
      <c r="I116" s="646"/>
      <c r="J116" s="116"/>
      <c r="K116" s="6"/>
      <c r="L116" s="2233" t="s">
        <v>1135</v>
      </c>
      <c r="M116" s="1043"/>
      <c r="N116" s="1057"/>
      <c r="O116" s="2226"/>
      <c r="P116" s="1042">
        <f>SUM(P117:P117)</f>
        <v>9000000</v>
      </c>
      <c r="Q116" s="2256"/>
      <c r="R116" s="909"/>
      <c r="S116" s="1084"/>
      <c r="T116" s="1190"/>
      <c r="U116" s="1207"/>
      <c r="V116" s="1208"/>
    </row>
    <row r="117" spans="2:22" x14ac:dyDescent="0.25">
      <c r="B117" s="47"/>
      <c r="C117" s="6"/>
      <c r="D117" s="6"/>
      <c r="E117" s="645"/>
      <c r="F117" s="1365"/>
      <c r="G117" s="646"/>
      <c r="H117" s="646"/>
      <c r="I117" s="646"/>
      <c r="J117" s="116"/>
      <c r="K117" s="6"/>
      <c r="L117" s="2234" t="s">
        <v>1134</v>
      </c>
      <c r="M117" s="1073">
        <f>2*3*3</f>
        <v>18</v>
      </c>
      <c r="N117" s="863" t="s">
        <v>108</v>
      </c>
      <c r="O117" s="1088">
        <v>500000</v>
      </c>
      <c r="P117" s="891">
        <f t="shared" ref="P117" si="21">SUM(O117*M117)</f>
        <v>9000000</v>
      </c>
      <c r="Q117" s="2263"/>
      <c r="R117" s="1293"/>
      <c r="S117" s="1294"/>
      <c r="T117" s="1294"/>
      <c r="U117" s="1207"/>
      <c r="V117" s="1208"/>
    </row>
    <row r="118" spans="2:22" x14ac:dyDescent="0.25">
      <c r="B118" s="47"/>
      <c r="C118" s="6"/>
      <c r="D118" s="6"/>
      <c r="E118" s="645"/>
      <c r="F118" s="1365"/>
      <c r="G118" s="646"/>
      <c r="H118" s="646"/>
      <c r="I118" s="646"/>
      <c r="J118" s="116"/>
      <c r="K118" s="6"/>
      <c r="L118" s="2233" t="s">
        <v>1136</v>
      </c>
      <c r="M118" s="1043"/>
      <c r="N118" s="1057"/>
      <c r="O118" s="2226"/>
      <c r="P118" s="1042">
        <f>SUM(P119:P119)</f>
        <v>21600000</v>
      </c>
      <c r="Q118" s="2261"/>
      <c r="R118" s="1290"/>
      <c r="S118" s="1291"/>
      <c r="T118" s="912"/>
      <c r="U118" s="1207"/>
      <c r="V118" s="1208"/>
    </row>
    <row r="119" spans="2:22" x14ac:dyDescent="0.25">
      <c r="B119" s="47"/>
      <c r="C119" s="6"/>
      <c r="D119" s="6"/>
      <c r="E119" s="645"/>
      <c r="F119" s="1365"/>
      <c r="G119" s="646"/>
      <c r="H119" s="646"/>
      <c r="I119" s="646"/>
      <c r="J119" s="116"/>
      <c r="K119" s="6"/>
      <c r="L119" s="2234" t="s">
        <v>1137</v>
      </c>
      <c r="M119" s="1073">
        <f>8*3*3</f>
        <v>72</v>
      </c>
      <c r="N119" s="863" t="s">
        <v>108</v>
      </c>
      <c r="O119" s="1088">
        <v>300000</v>
      </c>
      <c r="P119" s="891">
        <f t="shared" ref="P119" si="22">SUM(O119*M119)</f>
        <v>21600000</v>
      </c>
      <c r="Q119" s="2261"/>
      <c r="R119" s="1295"/>
      <c r="S119" s="1296"/>
      <c r="T119" s="916"/>
      <c r="U119" s="1207"/>
      <c r="V119" s="1208"/>
    </row>
    <row r="120" spans="2:22" x14ac:dyDescent="0.25">
      <c r="B120" s="47"/>
      <c r="C120" s="6"/>
      <c r="D120" s="6"/>
      <c r="E120" s="645"/>
      <c r="F120" s="1365"/>
      <c r="G120" s="646"/>
      <c r="H120" s="646"/>
      <c r="I120" s="646"/>
      <c r="J120" s="116"/>
      <c r="K120" s="6"/>
      <c r="L120" s="2239"/>
      <c r="M120" s="1096"/>
      <c r="N120" s="2240"/>
      <c r="O120" s="2241"/>
      <c r="P120" s="2241"/>
      <c r="Q120" s="2258"/>
      <c r="R120" s="919"/>
      <c r="S120" s="920"/>
      <c r="T120" s="1190"/>
      <c r="U120" s="1207"/>
      <c r="V120" s="1208"/>
    </row>
    <row r="121" spans="2:22" x14ac:dyDescent="0.25">
      <c r="B121" s="486">
        <v>1</v>
      </c>
      <c r="C121" s="487" t="s">
        <v>239</v>
      </c>
      <c r="D121" s="487" t="s">
        <v>84</v>
      </c>
      <c r="E121" s="1716">
        <v>15</v>
      </c>
      <c r="F121" s="1732" t="s">
        <v>109</v>
      </c>
      <c r="G121" s="473">
        <v>5</v>
      </c>
      <c r="H121" s="473">
        <v>2</v>
      </c>
      <c r="I121" s="473">
        <v>2</v>
      </c>
      <c r="J121" s="487" t="s">
        <v>86</v>
      </c>
      <c r="K121" s="489"/>
      <c r="L121" s="2242" t="s">
        <v>60</v>
      </c>
      <c r="M121" s="850"/>
      <c r="N121" s="1914"/>
      <c r="O121" s="1915"/>
      <c r="P121" s="1931">
        <f>SUM(P122+P126)</f>
        <v>1530000</v>
      </c>
      <c r="Q121" s="2261"/>
      <c r="R121" s="1290"/>
      <c r="S121" s="1291"/>
      <c r="T121" s="912">
        <f>SUM(T122+T126)</f>
        <v>375000</v>
      </c>
      <c r="U121" s="1207"/>
      <c r="V121" s="1208"/>
    </row>
    <row r="122" spans="2:22" x14ac:dyDescent="0.25">
      <c r="B122" s="486">
        <v>1</v>
      </c>
      <c r="C122" s="487" t="s">
        <v>239</v>
      </c>
      <c r="D122" s="487" t="s">
        <v>84</v>
      </c>
      <c r="E122" s="1716">
        <v>15</v>
      </c>
      <c r="F122" s="1732" t="s">
        <v>109</v>
      </c>
      <c r="G122" s="473">
        <v>5</v>
      </c>
      <c r="H122" s="473">
        <v>2</v>
      </c>
      <c r="I122" s="473">
        <v>2</v>
      </c>
      <c r="J122" s="487" t="s">
        <v>86</v>
      </c>
      <c r="K122" s="487" t="s">
        <v>84</v>
      </c>
      <c r="L122" s="1916" t="s">
        <v>453</v>
      </c>
      <c r="M122" s="850"/>
      <c r="N122" s="1917"/>
      <c r="O122" s="1918"/>
      <c r="P122" s="562">
        <f>SUM(P123:P124)</f>
        <v>1180000</v>
      </c>
      <c r="Q122" s="2261"/>
      <c r="R122" s="1295"/>
      <c r="S122" s="1296"/>
      <c r="T122" s="916">
        <f>SUM(T123:T124)</f>
        <v>200000</v>
      </c>
      <c r="U122" s="1207"/>
      <c r="V122" s="1208"/>
    </row>
    <row r="123" spans="2:22" x14ac:dyDescent="0.25">
      <c r="B123" s="2196"/>
      <c r="C123" s="1142"/>
      <c r="D123" s="1142"/>
      <c r="E123" s="2197"/>
      <c r="F123" s="2197"/>
      <c r="G123" s="1052"/>
      <c r="H123" s="1052"/>
      <c r="I123" s="1052"/>
      <c r="J123" s="1142"/>
      <c r="K123" s="1142"/>
      <c r="L123" s="2225" t="s">
        <v>641</v>
      </c>
      <c r="M123" s="1043">
        <v>10</v>
      </c>
      <c r="N123" s="1057" t="s">
        <v>231</v>
      </c>
      <c r="O123" s="2226">
        <v>68000</v>
      </c>
      <c r="P123" s="2226">
        <f>SUM(O123*M123)</f>
        <v>680000</v>
      </c>
      <c r="Q123" s="2258">
        <v>1</v>
      </c>
      <c r="R123" s="919" t="s">
        <v>924</v>
      </c>
      <c r="S123" s="920">
        <v>200000</v>
      </c>
      <c r="T123" s="1190">
        <f>Q123*S123</f>
        <v>200000</v>
      </c>
      <c r="U123" s="1207"/>
      <c r="V123" s="1208"/>
    </row>
    <row r="124" spans="2:22" x14ac:dyDescent="0.25">
      <c r="B124" s="2196"/>
      <c r="C124" s="1142"/>
      <c r="D124" s="1142"/>
      <c r="E124" s="2197"/>
      <c r="F124" s="2197"/>
      <c r="G124" s="1052"/>
      <c r="H124" s="1052"/>
      <c r="I124" s="1052"/>
      <c r="J124" s="1142"/>
      <c r="K124" s="1142"/>
      <c r="L124" s="2225" t="s">
        <v>925</v>
      </c>
      <c r="M124" s="1043">
        <v>100</v>
      </c>
      <c r="N124" s="1057" t="s">
        <v>199</v>
      </c>
      <c r="O124" s="2226">
        <v>5000</v>
      </c>
      <c r="P124" s="2226">
        <f>SUM(O124*M124)</f>
        <v>500000</v>
      </c>
      <c r="Q124" s="2258"/>
      <c r="R124" s="919"/>
      <c r="S124" s="920"/>
      <c r="T124" s="920"/>
      <c r="U124" s="1207"/>
      <c r="V124" s="1208"/>
    </row>
    <row r="125" spans="2:22" x14ac:dyDescent="0.25">
      <c r="B125" s="47"/>
      <c r="C125" s="6"/>
      <c r="D125" s="6"/>
      <c r="E125" s="645"/>
      <c r="F125" s="645"/>
      <c r="G125" s="646"/>
      <c r="H125" s="646"/>
      <c r="I125" s="646"/>
      <c r="J125" s="6"/>
      <c r="K125" s="6"/>
      <c r="L125" s="1756"/>
      <c r="M125" s="1098"/>
      <c r="N125" s="2243"/>
      <c r="O125" s="2244"/>
      <c r="P125" s="2244"/>
      <c r="Q125" s="2262"/>
      <c r="R125" s="1297"/>
      <c r="S125" s="1298"/>
      <c r="T125" s="1298"/>
      <c r="U125" s="1207"/>
      <c r="V125" s="1208"/>
    </row>
    <row r="126" spans="2:22" x14ac:dyDescent="0.25">
      <c r="B126" s="486">
        <v>1</v>
      </c>
      <c r="C126" s="487" t="s">
        <v>239</v>
      </c>
      <c r="D126" s="487" t="s">
        <v>84</v>
      </c>
      <c r="E126" s="1716">
        <v>15</v>
      </c>
      <c r="F126" s="1732" t="s">
        <v>109</v>
      </c>
      <c r="G126" s="473">
        <v>5</v>
      </c>
      <c r="H126" s="473">
        <v>2</v>
      </c>
      <c r="I126" s="473">
        <v>2</v>
      </c>
      <c r="J126" s="487" t="s">
        <v>86</v>
      </c>
      <c r="K126" s="487" t="s">
        <v>84</v>
      </c>
      <c r="L126" s="1916" t="s">
        <v>453</v>
      </c>
      <c r="M126" s="850"/>
      <c r="N126" s="1917"/>
      <c r="O126" s="1918"/>
      <c r="P126" s="562">
        <f>SUM(P127)</f>
        <v>350000</v>
      </c>
      <c r="Q126" s="2261"/>
      <c r="R126" s="1295"/>
      <c r="S126" s="1296"/>
      <c r="T126" s="916">
        <f>SUM(T127)</f>
        <v>175000</v>
      </c>
      <c r="U126" s="1207"/>
      <c r="V126" s="1208"/>
    </row>
    <row r="127" spans="2:22" x14ac:dyDescent="0.25">
      <c r="B127" s="47"/>
      <c r="C127" s="6"/>
      <c r="D127" s="6"/>
      <c r="E127" s="2211"/>
      <c r="F127" s="2212"/>
      <c r="G127" s="646"/>
      <c r="H127" s="646"/>
      <c r="I127" s="646"/>
      <c r="J127" s="6"/>
      <c r="K127" s="6"/>
      <c r="L127" s="2225" t="s">
        <v>926</v>
      </c>
      <c r="M127" s="1043">
        <v>1000</v>
      </c>
      <c r="N127" s="1057" t="s">
        <v>927</v>
      </c>
      <c r="O127" s="2226">
        <v>350</v>
      </c>
      <c r="P127" s="2226">
        <f>SUM(O127*M127)</f>
        <v>350000</v>
      </c>
      <c r="Q127" s="2258">
        <v>500</v>
      </c>
      <c r="R127" s="919" t="s">
        <v>927</v>
      </c>
      <c r="S127" s="920">
        <v>350</v>
      </c>
      <c r="T127" s="1190">
        <f t="shared" ref="T127" si="23">Q127*S127</f>
        <v>175000</v>
      </c>
      <c r="U127" s="1207"/>
      <c r="V127" s="1208"/>
    </row>
    <row r="128" spans="2:22" x14ac:dyDescent="0.25">
      <c r="B128" s="2196"/>
      <c r="C128" s="1142"/>
      <c r="D128" s="1142"/>
      <c r="E128" s="2197"/>
      <c r="F128" s="1142"/>
      <c r="G128" s="1052"/>
      <c r="H128" s="1052"/>
      <c r="I128" s="1052"/>
      <c r="J128" s="1052"/>
      <c r="K128" s="1142"/>
      <c r="L128" s="2208"/>
      <c r="M128" s="855"/>
      <c r="N128" s="856"/>
      <c r="O128" s="857"/>
      <c r="P128" s="857"/>
      <c r="Q128" s="2260"/>
      <c r="R128" s="1283"/>
      <c r="S128" s="1289"/>
      <c r="T128" s="1289"/>
      <c r="U128" s="1207"/>
      <c r="V128" s="1208"/>
    </row>
    <row r="129" spans="2:22" x14ac:dyDescent="0.25">
      <c r="B129" s="486">
        <v>1</v>
      </c>
      <c r="C129" s="487" t="s">
        <v>239</v>
      </c>
      <c r="D129" s="487" t="s">
        <v>84</v>
      </c>
      <c r="E129" s="1716">
        <v>15</v>
      </c>
      <c r="F129" s="1732" t="s">
        <v>109</v>
      </c>
      <c r="G129" s="1052">
        <v>5</v>
      </c>
      <c r="H129" s="1052">
        <v>2</v>
      </c>
      <c r="I129" s="1052">
        <v>2</v>
      </c>
      <c r="J129" s="1142">
        <v>11</v>
      </c>
      <c r="K129" s="1052"/>
      <c r="L129" s="2228" t="s">
        <v>187</v>
      </c>
      <c r="M129" s="1043"/>
      <c r="N129" s="2229"/>
      <c r="O129" s="2229"/>
      <c r="P129" s="2267">
        <f>P130</f>
        <v>32070000</v>
      </c>
      <c r="Q129" s="2258"/>
      <c r="R129" s="1275"/>
      <c r="S129" s="1275"/>
      <c r="T129" s="1276">
        <f>T130</f>
        <v>6262500</v>
      </c>
      <c r="U129" s="1207"/>
      <c r="V129" s="1208"/>
    </row>
    <row r="130" spans="2:22" x14ac:dyDescent="0.25">
      <c r="B130" s="654">
        <v>1</v>
      </c>
      <c r="C130" s="564" t="s">
        <v>239</v>
      </c>
      <c r="D130" s="564" t="s">
        <v>84</v>
      </c>
      <c r="E130" s="827">
        <v>15</v>
      </c>
      <c r="F130" s="798" t="s">
        <v>109</v>
      </c>
      <c r="G130" s="1017">
        <v>5</v>
      </c>
      <c r="H130" s="1017">
        <v>2</v>
      </c>
      <c r="I130" s="1017">
        <v>2</v>
      </c>
      <c r="J130" s="1015">
        <v>11</v>
      </c>
      <c r="K130" s="1015" t="s">
        <v>101</v>
      </c>
      <c r="L130" s="2228" t="s">
        <v>188</v>
      </c>
      <c r="M130" s="1043"/>
      <c r="N130" s="2229"/>
      <c r="O130" s="2229"/>
      <c r="P130" s="2267">
        <f>P131+P134+P137+P151+P154+P141+P144+P148+P157+P147</f>
        <v>32070000</v>
      </c>
      <c r="Q130" s="2258"/>
      <c r="R130" s="1275"/>
      <c r="S130" s="1275"/>
      <c r="T130" s="1276">
        <f>SUM(T158+T160+T163)</f>
        <v>6262500</v>
      </c>
      <c r="U130" s="1207"/>
      <c r="V130" s="1208"/>
    </row>
    <row r="131" spans="2:22" ht="25" x14ac:dyDescent="0.25">
      <c r="B131" s="654"/>
      <c r="C131" s="564"/>
      <c r="D131" s="564"/>
      <c r="E131" s="827"/>
      <c r="F131" s="798"/>
      <c r="G131" s="1017"/>
      <c r="H131" s="1017"/>
      <c r="I131" s="1017"/>
      <c r="J131" s="1015"/>
      <c r="K131" s="1015"/>
      <c r="L131" s="2233" t="s">
        <v>1138</v>
      </c>
      <c r="M131" s="1043"/>
      <c r="N131" s="1057"/>
      <c r="O131" s="2226"/>
      <c r="P131" s="1042">
        <f>SUM(P132:P133)</f>
        <v>5040000</v>
      </c>
      <c r="Q131" s="2258"/>
      <c r="R131" s="919"/>
      <c r="S131" s="920"/>
      <c r="T131" s="920"/>
      <c r="U131" s="1207"/>
      <c r="V131" s="1208"/>
    </row>
    <row r="132" spans="2:22" x14ac:dyDescent="0.25">
      <c r="B132" s="2196"/>
      <c r="C132" s="1142"/>
      <c r="D132" s="1142"/>
      <c r="E132" s="2197"/>
      <c r="F132" s="2197"/>
      <c r="G132" s="1052"/>
      <c r="H132" s="1052"/>
      <c r="I132" s="1052"/>
      <c r="J132" s="1142"/>
      <c r="K132" s="1142"/>
      <c r="L132" s="2245" t="s">
        <v>1139</v>
      </c>
      <c r="M132" s="1043">
        <f>2*84</f>
        <v>168</v>
      </c>
      <c r="N132" s="1057" t="s">
        <v>151</v>
      </c>
      <c r="O132" s="2226">
        <v>15000</v>
      </c>
      <c r="P132" s="2226">
        <f>SUM(O132*M132)</f>
        <v>2520000</v>
      </c>
      <c r="Q132" s="2258"/>
      <c r="R132" s="919"/>
      <c r="S132" s="920"/>
      <c r="T132" s="920"/>
      <c r="U132" s="1207"/>
      <c r="V132" s="1208"/>
    </row>
    <row r="133" spans="2:22" x14ac:dyDescent="0.25">
      <c r="B133" s="2196"/>
      <c r="C133" s="1142"/>
      <c r="D133" s="1142"/>
      <c r="E133" s="2197"/>
      <c r="F133" s="2197"/>
      <c r="G133" s="1052"/>
      <c r="H133" s="1052"/>
      <c r="I133" s="1052"/>
      <c r="J133" s="1142"/>
      <c r="K133" s="1142"/>
      <c r="L133" s="2245" t="s">
        <v>1140</v>
      </c>
      <c r="M133" s="1043">
        <f>4*84</f>
        <v>336</v>
      </c>
      <c r="N133" s="1057" t="s">
        <v>151</v>
      </c>
      <c r="O133" s="2226">
        <v>7500</v>
      </c>
      <c r="P133" s="2226">
        <f>SUM(O133*M133)</f>
        <v>2520000</v>
      </c>
      <c r="Q133" s="2258"/>
      <c r="R133" s="919"/>
      <c r="S133" s="920"/>
      <c r="T133" s="920"/>
      <c r="U133" s="1207"/>
      <c r="V133" s="1208"/>
    </row>
    <row r="134" spans="2:22" ht="25" x14ac:dyDescent="0.25">
      <c r="B134" s="2196"/>
      <c r="C134" s="1142"/>
      <c r="D134" s="1142"/>
      <c r="E134" s="2197"/>
      <c r="F134" s="2197"/>
      <c r="G134" s="1052"/>
      <c r="H134" s="1052"/>
      <c r="I134" s="1052"/>
      <c r="J134" s="1142"/>
      <c r="K134" s="1142"/>
      <c r="L134" s="2233" t="s">
        <v>928</v>
      </c>
      <c r="M134" s="1043"/>
      <c r="N134" s="1057"/>
      <c r="O134" s="2226"/>
      <c r="P134" s="1042">
        <f>SUM(P135:P136)</f>
        <v>3480000</v>
      </c>
      <c r="Q134" s="2258"/>
      <c r="R134" s="919"/>
      <c r="S134" s="920"/>
      <c r="T134" s="920"/>
      <c r="U134" s="1207"/>
      <c r="V134" s="1208"/>
    </row>
    <row r="135" spans="2:22" x14ac:dyDescent="0.25">
      <c r="B135" s="2196"/>
      <c r="C135" s="1142"/>
      <c r="D135" s="1142"/>
      <c r="E135" s="2197"/>
      <c r="F135" s="2197"/>
      <c r="G135" s="1052"/>
      <c r="H135" s="1052"/>
      <c r="I135" s="1052"/>
      <c r="J135" s="1142"/>
      <c r="K135" s="1142"/>
      <c r="L135" s="2245" t="s">
        <v>929</v>
      </c>
      <c r="M135" s="1043">
        <f>2*58</f>
        <v>116</v>
      </c>
      <c r="N135" s="1057" t="s">
        <v>151</v>
      </c>
      <c r="O135" s="2226">
        <v>15000</v>
      </c>
      <c r="P135" s="2226">
        <f>SUM(O135*M135)</f>
        <v>1740000</v>
      </c>
      <c r="Q135" s="2258"/>
      <c r="R135" s="919"/>
      <c r="S135" s="920"/>
      <c r="T135" s="920"/>
      <c r="U135" s="1207"/>
      <c r="V135" s="1208"/>
    </row>
    <row r="136" spans="2:22" x14ac:dyDescent="0.25">
      <c r="B136" s="2196"/>
      <c r="C136" s="1142"/>
      <c r="D136" s="1142"/>
      <c r="E136" s="2197"/>
      <c r="F136" s="2197"/>
      <c r="G136" s="1052"/>
      <c r="H136" s="1052"/>
      <c r="I136" s="1052"/>
      <c r="J136" s="1142"/>
      <c r="K136" s="1142"/>
      <c r="L136" s="2245" t="s">
        <v>930</v>
      </c>
      <c r="M136" s="1043">
        <f>4*58</f>
        <v>232</v>
      </c>
      <c r="N136" s="1057" t="s">
        <v>151</v>
      </c>
      <c r="O136" s="2226">
        <v>7500</v>
      </c>
      <c r="P136" s="2226">
        <f>SUM(O136*M136)</f>
        <v>1740000</v>
      </c>
      <c r="Q136" s="2258"/>
      <c r="R136" s="919"/>
      <c r="S136" s="920"/>
      <c r="T136" s="920"/>
      <c r="U136" s="1207"/>
      <c r="V136" s="1208"/>
    </row>
    <row r="137" spans="2:22" ht="25" x14ac:dyDescent="0.25">
      <c r="B137" s="2196"/>
      <c r="C137" s="1142"/>
      <c r="D137" s="1142"/>
      <c r="E137" s="2197"/>
      <c r="F137" s="2197"/>
      <c r="G137" s="1052"/>
      <c r="H137" s="1052"/>
      <c r="I137" s="1052"/>
      <c r="J137" s="1142"/>
      <c r="K137" s="1142"/>
      <c r="L137" s="2233" t="s">
        <v>931</v>
      </c>
      <c r="M137" s="1043"/>
      <c r="N137" s="1057"/>
      <c r="O137" s="2226"/>
      <c r="P137" s="1042">
        <f>SUM(P138:P140)</f>
        <v>3540000</v>
      </c>
      <c r="Q137" s="2258"/>
      <c r="R137" s="919"/>
      <c r="S137" s="920"/>
      <c r="T137" s="920"/>
      <c r="U137" s="1207"/>
      <c r="V137" s="1208"/>
    </row>
    <row r="138" spans="2:22" x14ac:dyDescent="0.25">
      <c r="B138" s="2196"/>
      <c r="C138" s="1142"/>
      <c r="D138" s="1142"/>
      <c r="E138" s="2197"/>
      <c r="F138" s="2197"/>
      <c r="G138" s="1052"/>
      <c r="H138" s="1052"/>
      <c r="I138" s="1052"/>
      <c r="J138" s="1142"/>
      <c r="K138" s="1142"/>
      <c r="L138" s="2245" t="s">
        <v>932</v>
      </c>
      <c r="M138" s="1043">
        <v>80</v>
      </c>
      <c r="N138" s="1057" t="s">
        <v>151</v>
      </c>
      <c r="O138" s="2226">
        <v>15000</v>
      </c>
      <c r="P138" s="2226">
        <f>SUM(O138*M138)</f>
        <v>1200000</v>
      </c>
      <c r="Q138" s="2258"/>
      <c r="R138" s="919"/>
      <c r="S138" s="920"/>
      <c r="T138" s="920"/>
      <c r="U138" s="1207"/>
      <c r="V138" s="1208"/>
    </row>
    <row r="139" spans="2:22" x14ac:dyDescent="0.25">
      <c r="B139" s="2196"/>
      <c r="C139" s="1142"/>
      <c r="D139" s="1142"/>
      <c r="E139" s="2197"/>
      <c r="F139" s="2197"/>
      <c r="G139" s="1052"/>
      <c r="H139" s="1052"/>
      <c r="I139" s="1052"/>
      <c r="J139" s="1142"/>
      <c r="K139" s="1142"/>
      <c r="L139" s="2245" t="s">
        <v>933</v>
      </c>
      <c r="M139" s="1043">
        <v>80</v>
      </c>
      <c r="N139" s="1057" t="s">
        <v>151</v>
      </c>
      <c r="O139" s="2226">
        <v>7500</v>
      </c>
      <c r="P139" s="2226">
        <f>SUM(O139*M139)</f>
        <v>600000</v>
      </c>
      <c r="Q139" s="2258"/>
      <c r="R139" s="919"/>
      <c r="S139" s="920"/>
      <c r="T139" s="920"/>
      <c r="U139" s="1207"/>
      <c r="V139" s="1208"/>
    </row>
    <row r="140" spans="2:22" x14ac:dyDescent="0.25">
      <c r="B140" s="2196"/>
      <c r="C140" s="1142"/>
      <c r="D140" s="1142"/>
      <c r="E140" s="2197"/>
      <c r="F140" s="2197"/>
      <c r="G140" s="1052"/>
      <c r="H140" s="1052"/>
      <c r="I140" s="1052"/>
      <c r="J140" s="1142"/>
      <c r="K140" s="1142"/>
      <c r="L140" s="2245" t="s">
        <v>934</v>
      </c>
      <c r="M140" s="1043">
        <v>145</v>
      </c>
      <c r="N140" s="1057" t="s">
        <v>151</v>
      </c>
      <c r="O140" s="2226">
        <v>12000</v>
      </c>
      <c r="P140" s="2226">
        <f>SUM(O140*M140)</f>
        <v>1740000</v>
      </c>
      <c r="Q140" s="2258"/>
      <c r="R140" s="919"/>
      <c r="S140" s="920"/>
      <c r="T140" s="920"/>
      <c r="U140" s="1207"/>
      <c r="V140" s="1208"/>
    </row>
    <row r="141" spans="2:22" x14ac:dyDescent="0.25">
      <c r="B141" s="2196"/>
      <c r="C141" s="1142"/>
      <c r="D141" s="1142"/>
      <c r="E141" s="2197"/>
      <c r="F141" s="2197"/>
      <c r="G141" s="1052"/>
      <c r="H141" s="1052"/>
      <c r="I141" s="1052"/>
      <c r="J141" s="1142"/>
      <c r="K141" s="1142"/>
      <c r="L141" s="2233" t="s">
        <v>1141</v>
      </c>
      <c r="M141" s="1043"/>
      <c r="N141" s="1057"/>
      <c r="O141" s="2226"/>
      <c r="P141" s="1042">
        <f>SUM(P142:P143)</f>
        <v>1350000</v>
      </c>
      <c r="Q141" s="2258"/>
      <c r="R141" s="919"/>
      <c r="S141" s="920"/>
      <c r="T141" s="920"/>
      <c r="U141" s="1207"/>
      <c r="V141" s="1208"/>
    </row>
    <row r="142" spans="2:22" x14ac:dyDescent="0.25">
      <c r="B142" s="2196"/>
      <c r="C142" s="1142"/>
      <c r="D142" s="1142"/>
      <c r="E142" s="2197"/>
      <c r="F142" s="2197"/>
      <c r="G142" s="1052"/>
      <c r="H142" s="1052"/>
      <c r="I142" s="1052"/>
      <c r="J142" s="1142"/>
      <c r="K142" s="1142"/>
      <c r="L142" s="2246" t="s">
        <v>1142</v>
      </c>
      <c r="M142" s="1043">
        <f>3*15</f>
        <v>45</v>
      </c>
      <c r="N142" s="1057" t="s">
        <v>151</v>
      </c>
      <c r="O142" s="2226">
        <v>15000</v>
      </c>
      <c r="P142" s="2226">
        <f>SUM(O142*M142)</f>
        <v>675000</v>
      </c>
      <c r="Q142" s="2258"/>
      <c r="R142" s="919"/>
      <c r="S142" s="920"/>
      <c r="T142" s="920"/>
      <c r="U142" s="1207"/>
      <c r="V142" s="1208"/>
    </row>
    <row r="143" spans="2:22" x14ac:dyDescent="0.25">
      <c r="B143" s="2196"/>
      <c r="C143" s="1142"/>
      <c r="D143" s="1142"/>
      <c r="E143" s="2197"/>
      <c r="F143" s="2197"/>
      <c r="G143" s="1052"/>
      <c r="H143" s="1052"/>
      <c r="I143" s="1052"/>
      <c r="J143" s="1142"/>
      <c r="K143" s="1142"/>
      <c r="L143" s="2246" t="s">
        <v>1143</v>
      </c>
      <c r="M143" s="1043">
        <f>3*2*15</f>
        <v>90</v>
      </c>
      <c r="N143" s="1057" t="s">
        <v>151</v>
      </c>
      <c r="O143" s="2226">
        <v>7500</v>
      </c>
      <c r="P143" s="2226">
        <f>SUM(O143*M143)</f>
        <v>675000</v>
      </c>
      <c r="Q143" s="2258"/>
      <c r="R143" s="919"/>
      <c r="S143" s="920"/>
      <c r="T143" s="920"/>
      <c r="U143" s="1207"/>
      <c r="V143" s="1208"/>
    </row>
    <row r="144" spans="2:22" x14ac:dyDescent="0.25">
      <c r="B144" s="2196"/>
      <c r="C144" s="1142"/>
      <c r="D144" s="1142"/>
      <c r="E144" s="2197"/>
      <c r="F144" s="2197"/>
      <c r="G144" s="1052"/>
      <c r="H144" s="1052"/>
      <c r="I144" s="1052"/>
      <c r="J144" s="1142"/>
      <c r="K144" s="1142"/>
      <c r="L144" s="2238" t="s">
        <v>935</v>
      </c>
      <c r="M144" s="1043"/>
      <c r="N144" s="1057"/>
      <c r="O144" s="2226"/>
      <c r="P144" s="1042">
        <f>P145+P146</f>
        <v>5400000</v>
      </c>
      <c r="Q144" s="2258"/>
      <c r="R144" s="919"/>
      <c r="S144" s="920"/>
      <c r="T144" s="920"/>
      <c r="U144" s="1207"/>
      <c r="V144" s="1208"/>
    </row>
    <row r="145" spans="2:22" x14ac:dyDescent="0.25">
      <c r="B145" s="2196"/>
      <c r="C145" s="1142"/>
      <c r="D145" s="1142"/>
      <c r="E145" s="2197"/>
      <c r="F145" s="2197"/>
      <c r="G145" s="1052"/>
      <c r="H145" s="1052"/>
      <c r="I145" s="1052"/>
      <c r="J145" s="1142"/>
      <c r="K145" s="1142"/>
      <c r="L145" s="2246" t="s">
        <v>936</v>
      </c>
      <c r="M145" s="1043">
        <f>3*60</f>
        <v>180</v>
      </c>
      <c r="N145" s="1057" t="s">
        <v>151</v>
      </c>
      <c r="O145" s="2226">
        <v>15000</v>
      </c>
      <c r="P145" s="2226">
        <f>SUM(O145*M145)</f>
        <v>2700000</v>
      </c>
      <c r="Q145" s="2258"/>
      <c r="R145" s="919"/>
      <c r="S145" s="920"/>
      <c r="T145" s="920"/>
      <c r="U145" s="1207"/>
      <c r="V145" s="1208"/>
    </row>
    <row r="146" spans="2:22" x14ac:dyDescent="0.25">
      <c r="B146" s="2196"/>
      <c r="C146" s="1142"/>
      <c r="D146" s="1142"/>
      <c r="E146" s="2197"/>
      <c r="F146" s="2197"/>
      <c r="G146" s="1052"/>
      <c r="H146" s="1052"/>
      <c r="I146" s="1052"/>
      <c r="J146" s="1142"/>
      <c r="K146" s="1142"/>
      <c r="L146" s="2246" t="s">
        <v>937</v>
      </c>
      <c r="M146" s="1043">
        <f>6*60</f>
        <v>360</v>
      </c>
      <c r="N146" s="1057" t="s">
        <v>151</v>
      </c>
      <c r="O146" s="2226">
        <v>7500</v>
      </c>
      <c r="P146" s="2226">
        <f>SUM(O146*M146)</f>
        <v>2700000</v>
      </c>
      <c r="Q146" s="2258"/>
      <c r="R146" s="919"/>
      <c r="S146" s="920"/>
      <c r="T146" s="920"/>
      <c r="U146" s="1207"/>
      <c r="V146" s="1208"/>
    </row>
    <row r="147" spans="2:22" x14ac:dyDescent="0.25">
      <c r="B147" s="2196"/>
      <c r="C147" s="1142"/>
      <c r="D147" s="1142"/>
      <c r="E147" s="2197"/>
      <c r="F147" s="2197"/>
      <c r="G147" s="1052"/>
      <c r="H147" s="1052"/>
      <c r="I147" s="1052"/>
      <c r="J147" s="1142"/>
      <c r="K147" s="1142"/>
      <c r="L147" s="2246" t="s">
        <v>1144</v>
      </c>
      <c r="M147" s="1043">
        <f>10*18</f>
        <v>180</v>
      </c>
      <c r="N147" s="1057" t="s">
        <v>151</v>
      </c>
      <c r="O147" s="2226">
        <v>12000</v>
      </c>
      <c r="P147" s="2226">
        <f>SUM(O147*M147)</f>
        <v>2160000</v>
      </c>
      <c r="Q147" s="2258"/>
      <c r="R147" s="919"/>
      <c r="S147" s="920"/>
      <c r="T147" s="1190"/>
      <c r="U147" s="1207"/>
      <c r="V147" s="1208"/>
    </row>
    <row r="148" spans="2:22" ht="25" x14ac:dyDescent="0.25">
      <c r="B148" s="2196"/>
      <c r="C148" s="1142"/>
      <c r="D148" s="1142"/>
      <c r="E148" s="2197"/>
      <c r="F148" s="2197"/>
      <c r="G148" s="1052"/>
      <c r="H148" s="1052"/>
      <c r="I148" s="1052"/>
      <c r="J148" s="1142"/>
      <c r="K148" s="1142"/>
      <c r="L148" s="2233" t="s">
        <v>938</v>
      </c>
      <c r="M148" s="1043"/>
      <c r="N148" s="1057"/>
      <c r="O148" s="2226"/>
      <c r="P148" s="1042">
        <f>SUM(P149:P150)</f>
        <v>1800000</v>
      </c>
      <c r="Q148" s="2258"/>
      <c r="R148" s="919"/>
      <c r="S148" s="920"/>
      <c r="T148" s="920"/>
      <c r="U148" s="1207"/>
      <c r="V148" s="1208"/>
    </row>
    <row r="149" spans="2:22" x14ac:dyDescent="0.25">
      <c r="B149" s="2196"/>
      <c r="C149" s="1142"/>
      <c r="D149" s="1142"/>
      <c r="E149" s="2197"/>
      <c r="F149" s="2197"/>
      <c r="G149" s="1052"/>
      <c r="H149" s="1052"/>
      <c r="I149" s="1052"/>
      <c r="J149" s="1142"/>
      <c r="K149" s="1142"/>
      <c r="L149" s="2246" t="s">
        <v>939</v>
      </c>
      <c r="M149" s="1043">
        <f>1*60</f>
        <v>60</v>
      </c>
      <c r="N149" s="1057" t="s">
        <v>151</v>
      </c>
      <c r="O149" s="2226">
        <v>15000</v>
      </c>
      <c r="P149" s="2226">
        <f>SUM(O149*M149)</f>
        <v>900000</v>
      </c>
      <c r="Q149" s="2258"/>
      <c r="R149" s="919"/>
      <c r="S149" s="920"/>
      <c r="T149" s="1190"/>
      <c r="U149" s="1207"/>
      <c r="V149" s="1208"/>
    </row>
    <row r="150" spans="2:22" x14ac:dyDescent="0.25">
      <c r="B150" s="2196"/>
      <c r="C150" s="1142"/>
      <c r="D150" s="1142"/>
      <c r="E150" s="2197"/>
      <c r="F150" s="2197"/>
      <c r="G150" s="1052"/>
      <c r="H150" s="1052"/>
      <c r="I150" s="1052"/>
      <c r="J150" s="1142"/>
      <c r="K150" s="1142"/>
      <c r="L150" s="2246" t="s">
        <v>940</v>
      </c>
      <c r="M150" s="1043">
        <f>2*60</f>
        <v>120</v>
      </c>
      <c r="N150" s="1057" t="s">
        <v>151</v>
      </c>
      <c r="O150" s="2226">
        <v>7500</v>
      </c>
      <c r="P150" s="2226">
        <f>SUM(O150*M150)</f>
        <v>900000</v>
      </c>
      <c r="Q150" s="2258"/>
      <c r="R150" s="919"/>
      <c r="S150" s="920"/>
      <c r="T150" s="1190"/>
      <c r="U150" s="1207"/>
      <c r="V150" s="1208"/>
    </row>
    <row r="151" spans="2:22" x14ac:dyDescent="0.25">
      <c r="B151" s="2196"/>
      <c r="C151" s="1142"/>
      <c r="D151" s="1142"/>
      <c r="E151" s="2197"/>
      <c r="F151" s="2197"/>
      <c r="G151" s="1052"/>
      <c r="H151" s="1052"/>
      <c r="I151" s="1052"/>
      <c r="J151" s="1142"/>
      <c r="K151" s="1142"/>
      <c r="L151" s="2238" t="s">
        <v>1145</v>
      </c>
      <c r="M151" s="1043"/>
      <c r="N151" s="1057"/>
      <c r="O151" s="2226"/>
      <c r="P151" s="1042">
        <f>SUM(P152:P153)</f>
        <v>7200000</v>
      </c>
      <c r="Q151" s="2258"/>
      <c r="R151" s="919"/>
      <c r="S151" s="920"/>
      <c r="T151" s="920"/>
      <c r="U151" s="1207"/>
      <c r="V151" s="1208"/>
    </row>
    <row r="152" spans="2:22" x14ac:dyDescent="0.25">
      <c r="B152" s="2196"/>
      <c r="C152" s="1142"/>
      <c r="D152" s="1142"/>
      <c r="E152" s="2197"/>
      <c r="F152" s="2197"/>
      <c r="G152" s="1052"/>
      <c r="H152" s="1052"/>
      <c r="I152" s="1052"/>
      <c r="J152" s="1142"/>
      <c r="K152" s="1142"/>
      <c r="L152" s="2246" t="s">
        <v>1146</v>
      </c>
      <c r="M152" s="1043">
        <f>8*30</f>
        <v>240</v>
      </c>
      <c r="N152" s="1057" t="s">
        <v>151</v>
      </c>
      <c r="O152" s="2226">
        <v>15000</v>
      </c>
      <c r="P152" s="2226">
        <f t="shared" ref="P152:P153" si="24">SUM(O152*M152)</f>
        <v>3600000</v>
      </c>
      <c r="Q152" s="2258"/>
      <c r="R152" s="919"/>
      <c r="S152" s="920"/>
      <c r="T152" s="1190"/>
      <c r="U152" s="1207"/>
      <c r="V152" s="1208"/>
    </row>
    <row r="153" spans="2:22" x14ac:dyDescent="0.25">
      <c r="B153" s="2196"/>
      <c r="C153" s="1142"/>
      <c r="D153" s="1142"/>
      <c r="E153" s="2197"/>
      <c r="F153" s="2197"/>
      <c r="G153" s="1052"/>
      <c r="H153" s="1052"/>
      <c r="I153" s="1052"/>
      <c r="J153" s="1142"/>
      <c r="K153" s="1142"/>
      <c r="L153" s="2246" t="s">
        <v>1147</v>
      </c>
      <c r="M153" s="1043">
        <f>16*30</f>
        <v>480</v>
      </c>
      <c r="N153" s="1057" t="s">
        <v>151</v>
      </c>
      <c r="O153" s="2226">
        <v>7500</v>
      </c>
      <c r="P153" s="2226">
        <f t="shared" si="24"/>
        <v>3600000</v>
      </c>
      <c r="Q153" s="2264"/>
      <c r="R153" s="1964"/>
      <c r="S153" s="1965"/>
      <c r="T153" s="2187"/>
      <c r="U153" s="1207"/>
      <c r="V153" s="1208"/>
    </row>
    <row r="154" spans="2:22" x14ac:dyDescent="0.25">
      <c r="B154" s="2196"/>
      <c r="C154" s="1142"/>
      <c r="D154" s="1142"/>
      <c r="E154" s="2197"/>
      <c r="F154" s="2197"/>
      <c r="G154" s="1052"/>
      <c r="H154" s="1052"/>
      <c r="I154" s="1052"/>
      <c r="J154" s="1142"/>
      <c r="K154" s="1142"/>
      <c r="L154" s="2233" t="s">
        <v>941</v>
      </c>
      <c r="M154" s="1043"/>
      <c r="N154" s="1057"/>
      <c r="O154" s="2226"/>
      <c r="P154" s="1042">
        <f>SUM(P155:P156)</f>
        <v>900000</v>
      </c>
      <c r="Q154" s="2264"/>
      <c r="R154" s="1964"/>
      <c r="S154" s="1965"/>
      <c r="T154" s="2187"/>
      <c r="U154" s="1207"/>
      <c r="V154" s="1208"/>
    </row>
    <row r="155" spans="2:22" x14ac:dyDescent="0.25">
      <c r="B155" s="2196"/>
      <c r="C155" s="1142"/>
      <c r="D155" s="1142"/>
      <c r="E155" s="2197"/>
      <c r="F155" s="2197"/>
      <c r="G155" s="1052"/>
      <c r="H155" s="1052"/>
      <c r="I155" s="1052"/>
      <c r="J155" s="1142"/>
      <c r="K155" s="1142"/>
      <c r="L155" s="2246" t="s">
        <v>942</v>
      </c>
      <c r="M155" s="1043">
        <f>2*10</f>
        <v>20</v>
      </c>
      <c r="N155" s="1057" t="s">
        <v>151</v>
      </c>
      <c r="O155" s="2226">
        <v>15000</v>
      </c>
      <c r="P155" s="2226">
        <f>SUM(O155*M155)</f>
        <v>300000</v>
      </c>
      <c r="Q155" s="2264"/>
      <c r="R155" s="1964"/>
      <c r="S155" s="1965"/>
      <c r="T155" s="2187"/>
      <c r="U155" s="1207"/>
      <c r="V155" s="1208"/>
    </row>
    <row r="156" spans="2:22" x14ac:dyDescent="0.25">
      <c r="B156" s="2196"/>
      <c r="C156" s="1142"/>
      <c r="D156" s="1142"/>
      <c r="E156" s="2197"/>
      <c r="F156" s="2197"/>
      <c r="G156" s="1052"/>
      <c r="H156" s="1052"/>
      <c r="I156" s="1052"/>
      <c r="J156" s="1142"/>
      <c r="K156" s="1142"/>
      <c r="L156" s="2246" t="s">
        <v>943</v>
      </c>
      <c r="M156" s="1043">
        <f>2*4*10</f>
        <v>80</v>
      </c>
      <c r="N156" s="1057" t="s">
        <v>151</v>
      </c>
      <c r="O156" s="2226">
        <v>7500</v>
      </c>
      <c r="P156" s="2226">
        <f>SUM(O156*M156)</f>
        <v>600000</v>
      </c>
      <c r="Q156" s="2264"/>
      <c r="R156" s="1964"/>
      <c r="S156" s="1965"/>
      <c r="T156" s="2187"/>
      <c r="U156" s="1207"/>
      <c r="V156" s="1208"/>
    </row>
    <row r="157" spans="2:22" x14ac:dyDescent="0.25">
      <c r="B157" s="2196"/>
      <c r="C157" s="1142"/>
      <c r="D157" s="1142"/>
      <c r="E157" s="2197"/>
      <c r="F157" s="2197"/>
      <c r="G157" s="1052"/>
      <c r="H157" s="1052"/>
      <c r="I157" s="1052"/>
      <c r="J157" s="1142"/>
      <c r="K157" s="1142"/>
      <c r="L157" s="2246" t="s">
        <v>944</v>
      </c>
      <c r="M157" s="1043">
        <f>10*10</f>
        <v>100</v>
      </c>
      <c r="N157" s="1057" t="s">
        <v>151</v>
      </c>
      <c r="O157" s="2226">
        <v>12000</v>
      </c>
      <c r="P157" s="2226">
        <f>SUM(O157*M157)</f>
        <v>1200000</v>
      </c>
      <c r="Q157" s="2264"/>
      <c r="R157" s="1964"/>
      <c r="S157" s="1965"/>
      <c r="T157" s="2187"/>
      <c r="U157" s="1207"/>
      <c r="V157" s="1208"/>
    </row>
    <row r="158" spans="2:22" ht="25" x14ac:dyDescent="0.25">
      <c r="B158" s="2196"/>
      <c r="C158" s="1142"/>
      <c r="D158" s="1142"/>
      <c r="E158" s="2197"/>
      <c r="F158" s="2197"/>
      <c r="G158" s="1052"/>
      <c r="H158" s="1052"/>
      <c r="I158" s="1052"/>
      <c r="J158" s="1142"/>
      <c r="K158" s="1142"/>
      <c r="L158" s="1292" t="s">
        <v>945</v>
      </c>
      <c r="M158" s="1029"/>
      <c r="N158" s="919"/>
      <c r="O158" s="920"/>
      <c r="P158" s="921"/>
      <c r="Q158" s="1029"/>
      <c r="R158" s="919"/>
      <c r="S158" s="920"/>
      <c r="T158" s="920">
        <f>SUM(T159)</f>
        <v>2700000</v>
      </c>
      <c r="U158" s="1207"/>
      <c r="V158" s="1208"/>
    </row>
    <row r="159" spans="2:22" x14ac:dyDescent="0.25">
      <c r="B159" s="2196"/>
      <c r="C159" s="1142"/>
      <c r="D159" s="1142"/>
      <c r="E159" s="2197"/>
      <c r="F159" s="2197"/>
      <c r="G159" s="1052"/>
      <c r="H159" s="1052"/>
      <c r="I159" s="1052"/>
      <c r="J159" s="1142"/>
      <c r="K159" s="1142"/>
      <c r="L159" s="1299" t="s">
        <v>946</v>
      </c>
      <c r="M159" s="1029"/>
      <c r="N159" s="919"/>
      <c r="O159" s="920"/>
      <c r="P159" s="1187"/>
      <c r="Q159" s="1029">
        <v>360</v>
      </c>
      <c r="R159" s="919" t="s">
        <v>151</v>
      </c>
      <c r="S159" s="920">
        <v>7500</v>
      </c>
      <c r="T159" s="1190">
        <f t="shared" ref="T159" si="25">Q159*S159</f>
        <v>2700000</v>
      </c>
      <c r="U159" s="1207"/>
      <c r="V159" s="1208"/>
    </row>
    <row r="160" spans="2:22" ht="25" x14ac:dyDescent="0.25">
      <c r="B160" s="2196"/>
      <c r="C160" s="1142"/>
      <c r="D160" s="1142"/>
      <c r="E160" s="2197"/>
      <c r="F160" s="2197"/>
      <c r="G160" s="1052"/>
      <c r="H160" s="1052"/>
      <c r="I160" s="1052"/>
      <c r="J160" s="1142"/>
      <c r="K160" s="1142"/>
      <c r="L160" s="1292" t="s">
        <v>947</v>
      </c>
      <c r="M160" s="1029"/>
      <c r="N160" s="919"/>
      <c r="O160" s="920"/>
      <c r="P160" s="921"/>
      <c r="Q160" s="1029"/>
      <c r="R160" s="919"/>
      <c r="S160" s="920"/>
      <c r="T160" s="920">
        <f>SUM(T161:T162)</f>
        <v>3000000</v>
      </c>
      <c r="U160" s="1207"/>
      <c r="V160" s="1208"/>
    </row>
    <row r="161" spans="2:31" x14ac:dyDescent="0.25">
      <c r="B161" s="2196"/>
      <c r="C161" s="1142"/>
      <c r="D161" s="1142"/>
      <c r="E161" s="2197"/>
      <c r="F161" s="2197"/>
      <c r="G161" s="1052"/>
      <c r="H161" s="1052"/>
      <c r="I161" s="1052"/>
      <c r="J161" s="1142"/>
      <c r="K161" s="1142"/>
      <c r="L161" s="1299" t="s">
        <v>948</v>
      </c>
      <c r="M161" s="1029"/>
      <c r="N161" s="919"/>
      <c r="O161" s="920"/>
      <c r="P161" s="1187"/>
      <c r="Q161" s="1029">
        <v>40</v>
      </c>
      <c r="R161" s="919" t="s">
        <v>151</v>
      </c>
      <c r="S161" s="920">
        <v>15000</v>
      </c>
      <c r="T161" s="1190">
        <f t="shared" ref="T161:T162" si="26">Q161*S161</f>
        <v>600000</v>
      </c>
      <c r="U161" s="1207"/>
      <c r="V161" s="1208"/>
    </row>
    <row r="162" spans="2:31" x14ac:dyDescent="0.25">
      <c r="B162" s="2196"/>
      <c r="C162" s="1142"/>
      <c r="D162" s="1142"/>
      <c r="E162" s="2197"/>
      <c r="F162" s="2197"/>
      <c r="G162" s="1052"/>
      <c r="H162" s="1052"/>
      <c r="I162" s="1052"/>
      <c r="J162" s="1142"/>
      <c r="K162" s="1142"/>
      <c r="L162" s="1299" t="s">
        <v>949</v>
      </c>
      <c r="M162" s="1029"/>
      <c r="N162" s="919"/>
      <c r="O162" s="920"/>
      <c r="P162" s="1187"/>
      <c r="Q162" s="1029">
        <v>320</v>
      </c>
      <c r="R162" s="919" t="s">
        <v>151</v>
      </c>
      <c r="S162" s="920">
        <v>7500</v>
      </c>
      <c r="T162" s="1190">
        <f t="shared" si="26"/>
        <v>2400000</v>
      </c>
      <c r="U162" s="1207"/>
      <c r="V162" s="1208"/>
    </row>
    <row r="163" spans="2:31" ht="25" x14ac:dyDescent="0.25">
      <c r="B163" s="2196"/>
      <c r="C163" s="1142"/>
      <c r="D163" s="1142"/>
      <c r="E163" s="2197"/>
      <c r="F163" s="2197"/>
      <c r="G163" s="1052"/>
      <c r="H163" s="1052"/>
      <c r="I163" s="1052"/>
      <c r="J163" s="1142"/>
      <c r="K163" s="1142"/>
      <c r="L163" s="1292" t="s">
        <v>950</v>
      </c>
      <c r="M163" s="1029"/>
      <c r="N163" s="919"/>
      <c r="O163" s="920"/>
      <c r="P163" s="921"/>
      <c r="Q163" s="1029"/>
      <c r="R163" s="919"/>
      <c r="S163" s="920"/>
      <c r="T163" s="920">
        <f>SUM(T164)</f>
        <v>562500</v>
      </c>
      <c r="U163" s="1207"/>
      <c r="V163" s="1208"/>
    </row>
    <row r="164" spans="2:31" x14ac:dyDescent="0.25">
      <c r="B164" s="2196"/>
      <c r="C164" s="1142"/>
      <c r="D164" s="1142"/>
      <c r="E164" s="2197"/>
      <c r="F164" s="2197"/>
      <c r="G164" s="1052"/>
      <c r="H164" s="1052"/>
      <c r="I164" s="1052"/>
      <c r="J164" s="1142"/>
      <c r="K164" s="1142"/>
      <c r="L164" s="1299" t="s">
        <v>951</v>
      </c>
      <c r="M164" s="1029"/>
      <c r="N164" s="919"/>
      <c r="O164" s="920"/>
      <c r="P164" s="1187"/>
      <c r="Q164" s="1029">
        <v>75</v>
      </c>
      <c r="R164" s="919" t="s">
        <v>151</v>
      </c>
      <c r="S164" s="920">
        <v>7500</v>
      </c>
      <c r="T164" s="1190">
        <f t="shared" ref="T164" si="27">Q164*S164</f>
        <v>562500</v>
      </c>
      <c r="U164" s="1207"/>
      <c r="V164" s="1208"/>
    </row>
    <row r="165" spans="2:31" x14ac:dyDescent="0.25">
      <c r="B165" s="1014"/>
      <c r="C165" s="1015"/>
      <c r="D165" s="1015"/>
      <c r="E165" s="1016"/>
      <c r="F165" s="1015"/>
      <c r="G165" s="1017"/>
      <c r="H165" s="1017"/>
      <c r="I165" s="1017"/>
      <c r="J165" s="1017"/>
      <c r="K165" s="1015"/>
      <c r="L165" s="1177"/>
      <c r="M165" s="1178"/>
      <c r="N165" s="1020"/>
      <c r="O165" s="891"/>
      <c r="P165" s="1130"/>
      <c r="Q165" s="1179"/>
      <c r="R165" s="1180"/>
      <c r="S165" s="1181"/>
      <c r="T165" s="1180"/>
      <c r="U165" s="1061"/>
      <c r="V165" s="1182"/>
      <c r="W165" s="1052"/>
      <c r="X165" s="1052"/>
      <c r="Y165" s="1142"/>
      <c r="Z165" s="1183"/>
      <c r="AA165" s="1184"/>
      <c r="AB165" s="856"/>
      <c r="AC165" s="1057"/>
      <c r="AD165" s="857"/>
      <c r="AE165" s="1143"/>
    </row>
    <row r="166" spans="2:31" ht="14.5" thickBot="1" x14ac:dyDescent="0.3">
      <c r="B166" s="2730" t="s">
        <v>15</v>
      </c>
      <c r="C166" s="2731"/>
      <c r="D166" s="2731"/>
      <c r="E166" s="2731"/>
      <c r="F166" s="2731"/>
      <c r="G166" s="2731"/>
      <c r="H166" s="2731"/>
      <c r="I166" s="2731"/>
      <c r="J166" s="2731"/>
      <c r="K166" s="2731"/>
      <c r="L166" s="2731"/>
      <c r="M166" s="2731"/>
      <c r="N166" s="2731"/>
      <c r="O166" s="2731"/>
      <c r="P166" s="436">
        <f>P28</f>
        <v>388894860</v>
      </c>
      <c r="Q166" s="2915"/>
      <c r="R166" s="2916"/>
      <c r="S166" s="2917"/>
      <c r="T166" s="436">
        <f>T28</f>
        <v>313577430</v>
      </c>
      <c r="U166" s="1185">
        <f>T166-P166</f>
        <v>-75317430</v>
      </c>
      <c r="V166" s="957">
        <f>U166/P166*100</f>
        <v>-19.367041775764278</v>
      </c>
    </row>
    <row r="167" spans="2:31" ht="13" thickTop="1" x14ac:dyDescent="0.25">
      <c r="B167" s="2918"/>
      <c r="C167" s="2919"/>
      <c r="D167" s="2919"/>
      <c r="E167" s="2919"/>
      <c r="F167" s="2919"/>
      <c r="G167" s="2919"/>
      <c r="H167" s="2919"/>
      <c r="I167" s="2919"/>
      <c r="J167" s="2919"/>
      <c r="K167" s="2919"/>
      <c r="L167" s="2919"/>
      <c r="M167" s="2919"/>
      <c r="N167" s="2919"/>
      <c r="O167" s="2919"/>
      <c r="P167" s="2919"/>
      <c r="Q167" s="2919"/>
      <c r="R167" s="2919"/>
      <c r="S167" s="2919"/>
      <c r="T167" s="2919"/>
      <c r="U167" s="2919"/>
      <c r="V167" s="2920"/>
    </row>
    <row r="168" spans="2:31" ht="12.75" customHeight="1" x14ac:dyDescent="0.25">
      <c r="B168" s="466"/>
      <c r="C168" s="468"/>
      <c r="D168" s="468"/>
      <c r="E168" s="468"/>
      <c r="F168" s="468"/>
      <c r="G168" s="468"/>
      <c r="H168" s="468"/>
      <c r="I168" s="468"/>
      <c r="J168" s="468"/>
      <c r="K168" s="468"/>
      <c r="L168" s="396"/>
      <c r="M168" s="344"/>
      <c r="N168" s="344"/>
      <c r="O168" s="344"/>
      <c r="P168" s="344"/>
      <c r="Q168" s="468"/>
      <c r="R168" s="344"/>
      <c r="S168" s="2921" t="str">
        <f>'E-Gov Infrastruktur'!S142:U142</f>
        <v>Banda Aceh,               2020</v>
      </c>
      <c r="T168" s="2921"/>
      <c r="U168" s="2921"/>
      <c r="V168" s="936"/>
      <c r="W168" s="100"/>
    </row>
    <row r="169" spans="2:31" x14ac:dyDescent="0.25">
      <c r="B169" s="466"/>
      <c r="C169" s="468"/>
      <c r="D169" s="468"/>
      <c r="E169" s="468"/>
      <c r="F169" s="468"/>
      <c r="G169" s="468"/>
      <c r="H169" s="468"/>
      <c r="I169" s="468"/>
      <c r="J169" s="468"/>
      <c r="K169" s="468"/>
      <c r="L169" s="371" t="str">
        <f>'E-Gov Infrastruktur'!L143</f>
        <v>Mengesahkan,</v>
      </c>
      <c r="M169" s="344"/>
      <c r="N169" s="344"/>
      <c r="O169" s="344"/>
      <c r="P169" s="344"/>
      <c r="Q169" s="468"/>
      <c r="R169" s="344"/>
      <c r="S169" s="2922" t="str">
        <f>'E-Gov Infrastruktur'!S143:U143</f>
        <v>Pengguna Anggaran</v>
      </c>
      <c r="T169" s="2922"/>
      <c r="U169" s="2922"/>
      <c r="V169" s="397"/>
      <c r="W169" s="22"/>
    </row>
    <row r="170" spans="2:31" ht="12.75" customHeight="1" x14ac:dyDescent="0.25">
      <c r="B170" s="466"/>
      <c r="C170" s="468"/>
      <c r="D170" s="468"/>
      <c r="E170" s="468"/>
      <c r="F170" s="468"/>
      <c r="G170" s="468"/>
      <c r="H170" s="468"/>
      <c r="I170" s="468"/>
      <c r="J170" s="468"/>
      <c r="K170" s="468"/>
      <c r="L170" s="371" t="str">
        <f>'E-Gov Infrastruktur'!L144</f>
        <v>Pejabat Pengelola Keuangan Daerah</v>
      </c>
      <c r="M170" s="344"/>
      <c r="N170" s="344"/>
      <c r="O170" s="344"/>
      <c r="P170" s="344"/>
      <c r="Q170" s="468"/>
      <c r="R170" s="344"/>
      <c r="S170" s="2922" t="str">
        <f>'E-Gov Infrastruktur'!S144:U144</f>
        <v xml:space="preserve"> Satuan Kerja Perangkat Daerah </v>
      </c>
      <c r="T170" s="2922"/>
      <c r="U170" s="2922"/>
      <c r="V170" s="397"/>
      <c r="W170" s="22"/>
    </row>
    <row r="171" spans="2:31" x14ac:dyDescent="0.25">
      <c r="B171" s="466"/>
      <c r="C171" s="468"/>
      <c r="D171" s="468"/>
      <c r="E171" s="468"/>
      <c r="F171" s="468"/>
      <c r="G171" s="468"/>
      <c r="H171" s="468"/>
      <c r="I171" s="468"/>
      <c r="J171" s="468"/>
      <c r="K171" s="468"/>
      <c r="L171" s="394"/>
      <c r="M171" s="344"/>
      <c r="N171" s="344"/>
      <c r="O171" s="344"/>
      <c r="P171" s="344"/>
      <c r="Q171" s="468"/>
      <c r="R171" s="344"/>
      <c r="S171" s="937"/>
      <c r="T171" s="938"/>
      <c r="U171" s="938"/>
      <c r="V171" s="939"/>
      <c r="W171" s="102"/>
    </row>
    <row r="172" spans="2:31" x14ac:dyDescent="0.25">
      <c r="B172" s="466"/>
      <c r="C172" s="468"/>
      <c r="D172" s="468"/>
      <c r="E172" s="468"/>
      <c r="F172" s="468"/>
      <c r="G172" s="468"/>
      <c r="H172" s="468"/>
      <c r="I172" s="468"/>
      <c r="J172" s="468"/>
      <c r="K172" s="468"/>
      <c r="L172" s="394"/>
      <c r="M172" s="344"/>
      <c r="N172" s="344"/>
      <c r="O172" s="344"/>
      <c r="P172" s="344"/>
      <c r="Q172" s="468"/>
      <c r="R172" s="344"/>
      <c r="S172" s="937"/>
      <c r="T172" s="937"/>
      <c r="U172" s="937"/>
      <c r="V172" s="940"/>
      <c r="W172" s="103"/>
    </row>
    <row r="173" spans="2:31" x14ac:dyDescent="0.25">
      <c r="B173" s="466"/>
      <c r="C173" s="468"/>
      <c r="D173" s="468"/>
      <c r="E173" s="468"/>
      <c r="F173" s="468"/>
      <c r="G173" s="468"/>
      <c r="H173" s="468"/>
      <c r="I173" s="468"/>
      <c r="J173" s="468"/>
      <c r="K173" s="468"/>
      <c r="L173" s="941"/>
      <c r="M173" s="344"/>
      <c r="N173" s="344"/>
      <c r="O173" s="344"/>
      <c r="P173" s="344"/>
      <c r="Q173" s="468"/>
      <c r="R173" s="344"/>
      <c r="S173" s="937"/>
      <c r="T173" s="938"/>
      <c r="U173" s="938"/>
      <c r="V173" s="939"/>
      <c r="W173" s="102"/>
    </row>
    <row r="174" spans="2:31" ht="14" x14ac:dyDescent="0.25">
      <c r="B174" s="466"/>
      <c r="C174" s="468"/>
      <c r="D174" s="468"/>
      <c r="E174" s="468"/>
      <c r="F174" s="468"/>
      <c r="G174" s="468"/>
      <c r="H174" s="468"/>
      <c r="I174" s="468"/>
      <c r="J174" s="468"/>
      <c r="K174" s="468"/>
      <c r="L174" s="942" t="str">
        <f>'E-Gov Infrastruktur'!L148</f>
        <v>M. Iqbal Rokan, S.STP.</v>
      </c>
      <c r="M174" s="344"/>
      <c r="N174" s="344"/>
      <c r="O174" s="344"/>
      <c r="P174" s="344"/>
      <c r="Q174" s="468"/>
      <c r="R174" s="344"/>
      <c r="S174" s="2923" t="str">
        <f>'E-Gov Infrastruktur'!S148:U148</f>
        <v>Bustami, SH</v>
      </c>
      <c r="T174" s="2923"/>
      <c r="U174" s="2923"/>
      <c r="V174" s="400"/>
      <c r="W174" s="104"/>
    </row>
    <row r="175" spans="2:31" x14ac:dyDescent="0.25">
      <c r="B175" s="466"/>
      <c r="C175" s="468"/>
      <c r="D175" s="468"/>
      <c r="E175" s="468"/>
      <c r="F175" s="468"/>
      <c r="G175" s="468"/>
      <c r="H175" s="468"/>
      <c r="I175" s="468"/>
      <c r="J175" s="468"/>
      <c r="K175" s="468"/>
      <c r="L175" s="371" t="str">
        <f>'E-Gov Infrastruktur'!L149</f>
        <v>Nip. 19780505 199810 1 001</v>
      </c>
      <c r="M175" s="344"/>
      <c r="N175" s="344"/>
      <c r="O175" s="344"/>
      <c r="P175" s="344"/>
      <c r="Q175" s="468"/>
      <c r="R175" s="344"/>
      <c r="S175" s="2922" t="str">
        <f>'E-Gov Infrastruktur'!S149:U149</f>
        <v>Pembina Utama Muda / Nip. 196308241987031004</v>
      </c>
      <c r="T175" s="2922"/>
      <c r="U175" s="2922"/>
      <c r="V175" s="397"/>
      <c r="W175" s="22"/>
    </row>
    <row r="176" spans="2:31" x14ac:dyDescent="0.25">
      <c r="B176" s="466"/>
      <c r="C176" s="468"/>
      <c r="D176" s="468"/>
      <c r="E176" s="468"/>
      <c r="F176" s="468"/>
      <c r="G176" s="468"/>
      <c r="H176" s="468"/>
      <c r="I176" s="468"/>
      <c r="J176" s="468"/>
      <c r="K176" s="468"/>
      <c r="L176" s="371"/>
      <c r="M176" s="344"/>
      <c r="N176" s="344"/>
      <c r="O176" s="344"/>
      <c r="P176" s="344"/>
      <c r="Q176" s="468"/>
      <c r="R176" s="344"/>
      <c r="S176" s="371"/>
      <c r="T176" s="371"/>
      <c r="U176" s="371"/>
      <c r="V176" s="943"/>
      <c r="W176" s="21"/>
    </row>
    <row r="177" spans="2:22" ht="14.25" customHeight="1" x14ac:dyDescent="0.25">
      <c r="B177" s="2705" t="s">
        <v>286</v>
      </c>
      <c r="C177" s="2706"/>
      <c r="D177" s="2706"/>
      <c r="E177" s="2706"/>
      <c r="F177" s="2706"/>
      <c r="G177" s="2706"/>
      <c r="H177" s="2706"/>
      <c r="I177" s="2706"/>
      <c r="J177" s="2706"/>
      <c r="K177" s="2706"/>
      <c r="L177" s="2706"/>
      <c r="M177" s="2707" t="s">
        <v>145</v>
      </c>
      <c r="N177" s="2708"/>
      <c r="O177" s="2708"/>
      <c r="P177" s="2708"/>
      <c r="Q177" s="2708"/>
      <c r="R177" s="2708"/>
      <c r="S177" s="2708"/>
      <c r="T177" s="2708"/>
      <c r="U177" s="2708"/>
      <c r="V177" s="2709"/>
    </row>
    <row r="178" spans="2:22" ht="14.25" customHeight="1" x14ac:dyDescent="0.25">
      <c r="B178" s="2893"/>
      <c r="C178" s="2894"/>
      <c r="D178" s="2894"/>
      <c r="E178" s="2894"/>
      <c r="F178" s="2894"/>
      <c r="G178" s="2894"/>
      <c r="H178" s="2894"/>
      <c r="I178" s="2894"/>
      <c r="J178" s="2894"/>
      <c r="K178" s="2894"/>
      <c r="L178" s="2895"/>
      <c r="M178" s="418" t="s">
        <v>142</v>
      </c>
      <c r="N178" s="2747"/>
      <c r="O178" s="2747"/>
      <c r="P178" s="2747"/>
      <c r="Q178" s="2746" t="s">
        <v>143</v>
      </c>
      <c r="R178" s="2746"/>
      <c r="S178" s="2746"/>
      <c r="T178" s="417" t="s">
        <v>144</v>
      </c>
      <c r="U178" s="2746" t="s">
        <v>146</v>
      </c>
      <c r="V178" s="2748"/>
    </row>
    <row r="179" spans="2:22" ht="14.25" customHeight="1" x14ac:dyDescent="0.25">
      <c r="B179" s="2907" t="s">
        <v>293</v>
      </c>
      <c r="C179" s="2908"/>
      <c r="D179" s="2908"/>
      <c r="E179" s="2908"/>
      <c r="F179" s="2908"/>
      <c r="G179" s="2908"/>
      <c r="H179" s="2908"/>
      <c r="I179" s="2908"/>
      <c r="J179" s="2908"/>
      <c r="K179" s="2908"/>
      <c r="L179" s="944">
        <v>0</v>
      </c>
      <c r="M179" s="945">
        <v>1</v>
      </c>
      <c r="N179" s="2896" t="str">
        <f>'E-Gov Infrastruktur'!N153:P153</f>
        <v>Weri, SE. MA</v>
      </c>
      <c r="O179" s="2897"/>
      <c r="P179" s="2897"/>
      <c r="Q179" s="2898" t="str">
        <f>'E-Gov Infrastruktur'!Q153:S153</f>
        <v>19640525 198903 1 026</v>
      </c>
      <c r="R179" s="2563"/>
      <c r="S179" s="2564"/>
      <c r="T179" s="946" t="s">
        <v>302</v>
      </c>
      <c r="U179" s="947" t="s">
        <v>287</v>
      </c>
      <c r="V179" s="451"/>
    </row>
    <row r="180" spans="2:22" ht="14" x14ac:dyDescent="0.25">
      <c r="B180" s="2907" t="s">
        <v>294</v>
      </c>
      <c r="C180" s="2908"/>
      <c r="D180" s="2908"/>
      <c r="E180" s="2908"/>
      <c r="F180" s="2908"/>
      <c r="G180" s="2908"/>
      <c r="H180" s="2908"/>
      <c r="I180" s="2908"/>
      <c r="J180" s="2908"/>
      <c r="K180" s="2908"/>
      <c r="L180" s="944">
        <v>0</v>
      </c>
      <c r="M180" s="945">
        <v>2</v>
      </c>
      <c r="N180" s="2909" t="str">
        <f>'E-Gov Infrastruktur'!N154:P154</f>
        <v>Azmi, SH</v>
      </c>
      <c r="O180" s="2706"/>
      <c r="P180" s="2706"/>
      <c r="Q180" s="2898" t="str">
        <f>'E-Gov Infrastruktur'!Q154:S154</f>
        <v>19680824 199903 1 004</v>
      </c>
      <c r="R180" s="2563"/>
      <c r="S180" s="2564"/>
      <c r="T180" s="946" t="s">
        <v>303</v>
      </c>
      <c r="U180" s="450"/>
      <c r="V180" s="948" t="s">
        <v>128</v>
      </c>
    </row>
    <row r="181" spans="2:22" ht="14" x14ac:dyDescent="0.25">
      <c r="B181" s="2907" t="s">
        <v>295</v>
      </c>
      <c r="C181" s="2908"/>
      <c r="D181" s="2908"/>
      <c r="E181" s="2908"/>
      <c r="F181" s="2908"/>
      <c r="G181" s="2908"/>
      <c r="H181" s="2908"/>
      <c r="I181" s="2908"/>
      <c r="J181" s="2908"/>
      <c r="K181" s="2908"/>
      <c r="L181" s="944">
        <v>0</v>
      </c>
      <c r="M181" s="949">
        <v>3</v>
      </c>
      <c r="N181" s="2909" t="str">
        <f>'E-Gov Infrastruktur'!N155:P155</f>
        <v>Muhammad Syaifuddin Ambia, ST, MT</v>
      </c>
      <c r="O181" s="2706"/>
      <c r="P181" s="2706"/>
      <c r="Q181" s="2898" t="str">
        <f>'E-Gov Infrastruktur'!Q155:S155</f>
        <v>19741010 200604 1 003</v>
      </c>
      <c r="R181" s="2563"/>
      <c r="S181" s="2564"/>
      <c r="T181" s="946" t="s">
        <v>304</v>
      </c>
      <c r="U181" s="950" t="s">
        <v>292</v>
      </c>
      <c r="V181" s="451"/>
    </row>
    <row r="182" spans="2:22" ht="15" customHeight="1" x14ac:dyDescent="0.25">
      <c r="B182" s="2907" t="s">
        <v>296</v>
      </c>
      <c r="C182" s="2908"/>
      <c r="D182" s="2908"/>
      <c r="E182" s="2908"/>
      <c r="F182" s="2908"/>
      <c r="G182" s="2908"/>
      <c r="H182" s="2908"/>
      <c r="I182" s="2908"/>
      <c r="J182" s="2908"/>
      <c r="K182" s="2908"/>
      <c r="L182" s="944">
        <v>0</v>
      </c>
      <c r="M182" s="945">
        <v>4</v>
      </c>
      <c r="N182" s="2909" t="str">
        <f>'E-Gov Infrastruktur'!N156:P156</f>
        <v>Basri, SE, M.Si</v>
      </c>
      <c r="O182" s="2706"/>
      <c r="P182" s="2706"/>
      <c r="Q182" s="2898" t="str">
        <f>'E-Gov Infrastruktur'!Q156:S156</f>
        <v>19691213 199403 1 002</v>
      </c>
      <c r="R182" s="2563"/>
      <c r="S182" s="2564"/>
      <c r="T182" s="946" t="s">
        <v>305</v>
      </c>
      <c r="U182" s="450"/>
      <c r="V182" s="948" t="s">
        <v>288</v>
      </c>
    </row>
    <row r="183" spans="2:22" ht="14" x14ac:dyDescent="0.25">
      <c r="B183" s="2907" t="s">
        <v>297</v>
      </c>
      <c r="C183" s="2908"/>
      <c r="D183" s="2908"/>
      <c r="E183" s="2908"/>
      <c r="F183" s="2908"/>
      <c r="G183" s="2908"/>
      <c r="H183" s="2908"/>
      <c r="I183" s="2908"/>
      <c r="J183" s="2908"/>
      <c r="K183" s="2908"/>
      <c r="L183" s="951">
        <f>SUM(L179:L182)</f>
        <v>0</v>
      </c>
      <c r="M183" s="952">
        <v>5</v>
      </c>
      <c r="N183" s="2909" t="str">
        <f>'E-Gov Infrastruktur'!N157:P157</f>
        <v>Dewi Shinta Reza, SE. Ak</v>
      </c>
      <c r="O183" s="2706"/>
      <c r="P183" s="2706"/>
      <c r="Q183" s="2898" t="str">
        <f>'E-Gov Infrastruktur'!Q157:S157</f>
        <v>19750630 200212 2 003</v>
      </c>
      <c r="R183" s="2563"/>
      <c r="S183" s="2564"/>
      <c r="T183" s="946" t="s">
        <v>306</v>
      </c>
      <c r="U183" s="950" t="s">
        <v>289</v>
      </c>
      <c r="V183" s="451"/>
    </row>
    <row r="184" spans="2:22" ht="13.5" customHeight="1" x14ac:dyDescent="0.25">
      <c r="B184" s="2893"/>
      <c r="C184" s="2894"/>
      <c r="D184" s="2894"/>
      <c r="E184" s="2894"/>
      <c r="F184" s="2894"/>
      <c r="G184" s="2894"/>
      <c r="H184" s="2894"/>
      <c r="I184" s="2894"/>
      <c r="J184" s="2894"/>
      <c r="K184" s="2894"/>
      <c r="L184" s="2895"/>
      <c r="M184" s="952">
        <v>6</v>
      </c>
      <c r="N184" s="2896" t="str">
        <f>'E-Gov Infrastruktur'!N158:P158</f>
        <v>Harisman, S.STP, M.Ec.Dev</v>
      </c>
      <c r="O184" s="2897"/>
      <c r="P184" s="2897"/>
      <c r="Q184" s="2898" t="str">
        <f>'E-Gov Infrastruktur'!Q158:S158</f>
        <v>19830101 200112 1 003</v>
      </c>
      <c r="R184" s="2563"/>
      <c r="S184" s="2564"/>
      <c r="T184" s="946" t="s">
        <v>307</v>
      </c>
      <c r="U184" s="450"/>
      <c r="V184" s="948" t="s">
        <v>290</v>
      </c>
    </row>
    <row r="185" spans="2:22" ht="14.5" thickBot="1" x14ac:dyDescent="0.3">
      <c r="B185" s="2899"/>
      <c r="C185" s="2900"/>
      <c r="D185" s="2900"/>
      <c r="E185" s="2900"/>
      <c r="F185" s="2900"/>
      <c r="G185" s="2900"/>
      <c r="H185" s="2900"/>
      <c r="I185" s="2900"/>
      <c r="J185" s="2900"/>
      <c r="K185" s="2900"/>
      <c r="L185" s="2901"/>
      <c r="M185" s="953">
        <v>7</v>
      </c>
      <c r="N185" s="2902" t="str">
        <f>'E-Gov Infrastruktur'!N159:P159</f>
        <v>Alriandi, S.STP, M.Si</v>
      </c>
      <c r="O185" s="2903"/>
      <c r="P185" s="2903"/>
      <c r="Q185" s="2904" t="str">
        <f>'E-Gov Infrastruktur'!Q159:S159</f>
        <v>19830308 200112 1 001</v>
      </c>
      <c r="R185" s="2905"/>
      <c r="S185" s="2906"/>
      <c r="T185" s="954" t="s">
        <v>308</v>
      </c>
      <c r="U185" s="955" t="s">
        <v>291</v>
      </c>
      <c r="V185" s="956"/>
    </row>
    <row r="186" spans="2:22" ht="13" thickTop="1" x14ac:dyDescent="0.25">
      <c r="B186" s="342"/>
      <c r="C186" s="342"/>
      <c r="D186" s="342"/>
      <c r="E186" s="342"/>
      <c r="F186" s="342"/>
      <c r="G186" s="342"/>
      <c r="H186" s="342"/>
      <c r="I186" s="342"/>
      <c r="J186" s="342"/>
      <c r="K186" s="342"/>
      <c r="L186" s="342"/>
      <c r="M186" s="342"/>
      <c r="N186" s="342"/>
      <c r="O186" s="342"/>
      <c r="P186" s="342"/>
    </row>
    <row r="187" spans="2:22" x14ac:dyDescent="0.25">
      <c r="B187" s="342"/>
      <c r="C187" s="342"/>
      <c r="D187" s="342"/>
      <c r="E187" s="342"/>
      <c r="F187" s="342"/>
      <c r="G187" s="342"/>
      <c r="H187" s="342"/>
      <c r="I187" s="342"/>
      <c r="J187" s="342"/>
      <c r="K187" s="342"/>
      <c r="L187" s="342"/>
      <c r="M187" s="342"/>
      <c r="N187" s="342"/>
      <c r="O187" s="342"/>
      <c r="P187" s="342"/>
    </row>
    <row r="188" spans="2:22" x14ac:dyDescent="0.25">
      <c r="B188" s="342"/>
      <c r="C188" s="342"/>
      <c r="D188" s="342"/>
      <c r="E188" s="342"/>
      <c r="F188" s="342"/>
      <c r="G188" s="342"/>
      <c r="H188" s="342"/>
      <c r="I188" s="342"/>
      <c r="J188" s="342"/>
      <c r="K188" s="342"/>
      <c r="L188" s="342"/>
      <c r="M188" s="342"/>
      <c r="N188" s="342"/>
      <c r="O188" s="342"/>
      <c r="P188" s="342"/>
    </row>
    <row r="189" spans="2:22" x14ac:dyDescent="0.25">
      <c r="B189" s="342"/>
      <c r="C189" s="342"/>
      <c r="D189" s="342"/>
      <c r="E189" s="342"/>
      <c r="F189" s="342"/>
      <c r="G189" s="342"/>
      <c r="H189" s="342"/>
      <c r="I189" s="342"/>
      <c r="J189" s="342"/>
      <c r="K189" s="342"/>
      <c r="L189" s="342"/>
      <c r="M189" s="342"/>
      <c r="N189" s="342"/>
      <c r="O189" s="342"/>
      <c r="P189" s="342"/>
    </row>
    <row r="190" spans="2:22" x14ac:dyDescent="0.25">
      <c r="B190" s="342"/>
      <c r="C190" s="342"/>
      <c r="D190" s="342"/>
      <c r="E190" s="342"/>
      <c r="F190" s="342"/>
      <c r="G190" s="342"/>
      <c r="H190" s="342"/>
      <c r="I190" s="342"/>
      <c r="J190" s="342"/>
      <c r="K190" s="342"/>
      <c r="L190" s="342"/>
      <c r="M190" s="342"/>
      <c r="N190" s="342"/>
      <c r="O190" s="342"/>
      <c r="P190" s="342"/>
    </row>
    <row r="191" spans="2:22" x14ac:dyDescent="0.25">
      <c r="B191" s="342"/>
      <c r="C191" s="342"/>
      <c r="D191" s="342"/>
      <c r="E191" s="342"/>
      <c r="F191" s="342"/>
      <c r="G191" s="342"/>
      <c r="H191" s="342"/>
      <c r="I191" s="342"/>
      <c r="J191" s="342"/>
      <c r="K191" s="342"/>
      <c r="L191" s="342"/>
      <c r="M191" s="342"/>
      <c r="N191" s="342"/>
      <c r="O191" s="342"/>
      <c r="P191" s="342"/>
    </row>
    <row r="192" spans="2:22" x14ac:dyDescent="0.25">
      <c r="B192" s="342"/>
      <c r="C192" s="342"/>
      <c r="D192" s="342"/>
      <c r="E192" s="342"/>
      <c r="F192" s="342"/>
      <c r="G192" s="342"/>
      <c r="H192" s="342"/>
      <c r="I192" s="342"/>
      <c r="J192" s="342"/>
      <c r="K192" s="342"/>
      <c r="L192" s="342"/>
      <c r="M192" s="342"/>
      <c r="N192" s="342"/>
      <c r="O192" s="342"/>
      <c r="P192" s="342"/>
    </row>
    <row r="193" spans="2:16" x14ac:dyDescent="0.25">
      <c r="B193" s="342"/>
      <c r="C193" s="342"/>
      <c r="D193" s="342"/>
      <c r="E193" s="342"/>
      <c r="F193" s="342"/>
      <c r="G193" s="342"/>
      <c r="H193" s="342"/>
      <c r="I193" s="342"/>
      <c r="J193" s="342"/>
      <c r="K193" s="342"/>
      <c r="L193" s="342"/>
      <c r="M193" s="342"/>
      <c r="N193" s="342"/>
      <c r="O193" s="342"/>
      <c r="P193" s="342"/>
    </row>
    <row r="194" spans="2:16" x14ac:dyDescent="0.25">
      <c r="B194" s="342"/>
      <c r="C194" s="342"/>
      <c r="D194" s="342"/>
      <c r="E194" s="342"/>
      <c r="F194" s="342"/>
      <c r="G194" s="342"/>
      <c r="H194" s="342"/>
      <c r="I194" s="342"/>
      <c r="J194" s="342"/>
      <c r="K194" s="342"/>
      <c r="L194" s="342"/>
      <c r="M194" s="342"/>
      <c r="N194" s="342"/>
      <c r="O194" s="342"/>
      <c r="P194" s="342"/>
    </row>
    <row r="195" spans="2:16" x14ac:dyDescent="0.25">
      <c r="B195" s="342"/>
      <c r="C195" s="342"/>
      <c r="D195" s="342"/>
      <c r="E195" s="342"/>
      <c r="F195" s="342"/>
      <c r="G195" s="342"/>
      <c r="H195" s="342"/>
      <c r="I195" s="342"/>
      <c r="J195" s="342"/>
      <c r="K195" s="342"/>
      <c r="L195" s="342"/>
      <c r="M195" s="342"/>
      <c r="N195" s="342"/>
      <c r="O195" s="342"/>
      <c r="P195" s="342"/>
    </row>
    <row r="196" spans="2:16" x14ac:dyDescent="0.25">
      <c r="B196" s="342"/>
      <c r="C196" s="342"/>
      <c r="D196" s="342"/>
      <c r="E196" s="342"/>
      <c r="F196" s="342"/>
      <c r="G196" s="342"/>
      <c r="H196" s="342"/>
      <c r="I196" s="342"/>
      <c r="J196" s="342"/>
      <c r="K196" s="342"/>
      <c r="L196" s="342"/>
      <c r="M196" s="342"/>
      <c r="N196" s="342"/>
      <c r="O196" s="342"/>
      <c r="P196" s="342"/>
    </row>
    <row r="197" spans="2:16" x14ac:dyDescent="0.25">
      <c r="B197" s="342"/>
      <c r="C197" s="342"/>
      <c r="D197" s="342"/>
      <c r="E197" s="342"/>
      <c r="F197" s="342"/>
      <c r="G197" s="342"/>
      <c r="H197" s="342"/>
      <c r="I197" s="342"/>
      <c r="J197" s="342"/>
      <c r="K197" s="342"/>
      <c r="L197" s="342"/>
      <c r="M197" s="342"/>
      <c r="N197" s="342"/>
      <c r="O197" s="342"/>
      <c r="P197" s="342"/>
    </row>
    <row r="198" spans="2:16" x14ac:dyDescent="0.25">
      <c r="B198" s="342"/>
      <c r="C198" s="342"/>
      <c r="D198" s="342"/>
      <c r="E198" s="342"/>
      <c r="F198" s="342"/>
      <c r="G198" s="342"/>
      <c r="H198" s="342"/>
      <c r="I198" s="342"/>
      <c r="J198" s="342"/>
      <c r="K198" s="342"/>
      <c r="L198" s="342"/>
      <c r="M198" s="342"/>
      <c r="N198" s="342"/>
      <c r="O198" s="342"/>
      <c r="P198" s="342"/>
    </row>
    <row r="199" spans="2:16" x14ac:dyDescent="0.25">
      <c r="B199" s="342"/>
      <c r="C199" s="342"/>
      <c r="D199" s="342"/>
      <c r="E199" s="342"/>
      <c r="F199" s="342"/>
      <c r="G199" s="342"/>
      <c r="H199" s="342"/>
      <c r="I199" s="342"/>
      <c r="J199" s="342"/>
      <c r="K199" s="342"/>
      <c r="L199" s="342"/>
      <c r="M199" s="342"/>
      <c r="N199" s="342"/>
      <c r="O199" s="342"/>
      <c r="P199" s="342"/>
    </row>
    <row r="200" spans="2:16" x14ac:dyDescent="0.25">
      <c r="B200" s="342"/>
      <c r="C200" s="342"/>
      <c r="D200" s="342"/>
      <c r="E200" s="342"/>
      <c r="F200" s="342"/>
      <c r="G200" s="342"/>
      <c r="H200" s="342"/>
      <c r="I200" s="342"/>
      <c r="J200" s="342"/>
      <c r="K200" s="342"/>
      <c r="L200" s="342"/>
      <c r="M200" s="342"/>
      <c r="N200" s="342"/>
      <c r="O200" s="342"/>
      <c r="P200" s="342"/>
    </row>
    <row r="201" spans="2:16" x14ac:dyDescent="0.25">
      <c r="B201" s="342"/>
      <c r="C201" s="342"/>
      <c r="D201" s="342"/>
      <c r="E201" s="342"/>
      <c r="F201" s="342"/>
      <c r="G201" s="342"/>
      <c r="H201" s="342"/>
      <c r="I201" s="342"/>
      <c r="J201" s="342"/>
      <c r="K201" s="342"/>
      <c r="L201" s="342"/>
      <c r="M201" s="342"/>
      <c r="N201" s="342"/>
      <c r="O201" s="342"/>
      <c r="P201" s="342"/>
    </row>
    <row r="202" spans="2:16" x14ac:dyDescent="0.25">
      <c r="B202" s="342"/>
      <c r="C202" s="342"/>
      <c r="D202" s="342"/>
      <c r="E202" s="342"/>
      <c r="F202" s="342"/>
      <c r="G202" s="342"/>
      <c r="H202" s="342"/>
      <c r="I202" s="342"/>
      <c r="J202" s="342"/>
      <c r="K202" s="342"/>
      <c r="L202" s="342"/>
      <c r="M202" s="342"/>
      <c r="N202" s="342"/>
      <c r="O202" s="342"/>
      <c r="P202"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77:L177"/>
    <mergeCell ref="M177:V177"/>
    <mergeCell ref="B27:K27"/>
    <mergeCell ref="B166:O166"/>
    <mergeCell ref="Q166:S166"/>
    <mergeCell ref="B167:V167"/>
    <mergeCell ref="S168:U168"/>
    <mergeCell ref="S169:U169"/>
    <mergeCell ref="S170:U170"/>
    <mergeCell ref="S174:U174"/>
    <mergeCell ref="S175:U175"/>
    <mergeCell ref="B178:L178"/>
    <mergeCell ref="N178:P178"/>
    <mergeCell ref="Q178:S178"/>
    <mergeCell ref="U178:V178"/>
    <mergeCell ref="B179:K179"/>
    <mergeCell ref="N179:P179"/>
    <mergeCell ref="Q179:S179"/>
    <mergeCell ref="B180:K180"/>
    <mergeCell ref="N180:P180"/>
    <mergeCell ref="Q180:S180"/>
    <mergeCell ref="B181:K181"/>
    <mergeCell ref="N181:P181"/>
    <mergeCell ref="Q181:S181"/>
    <mergeCell ref="B182:K182"/>
    <mergeCell ref="N182:P182"/>
    <mergeCell ref="Q182:S182"/>
    <mergeCell ref="B183:K183"/>
    <mergeCell ref="N183:P183"/>
    <mergeCell ref="Q183:S183"/>
    <mergeCell ref="B184:L184"/>
    <mergeCell ref="N184:P184"/>
    <mergeCell ref="Q184:S184"/>
    <mergeCell ref="B185:L185"/>
    <mergeCell ref="N185:P185"/>
    <mergeCell ref="Q185:S185"/>
  </mergeCells>
  <pageMargins left="0.511811023622047" right="1.0255905510000001" top="0.511811023622047" bottom="0.47244094488188998" header="0.31496062992126" footer="0.31496062992126"/>
  <pageSetup paperSize="5" scale="58" orientation="landscape" horizontalDpi="4294967293" verticalDpi="4294967293" r:id="rId1"/>
  <rowBreaks count="3" manualBreakCount="3">
    <brk id="56" min="1" max="21" man="1"/>
    <brk id="108" min="1" max="21" man="1"/>
    <brk id="167" min="1" max="21"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Y153"/>
  <sheetViews>
    <sheetView view="pageBreakPreview" topLeftCell="A6" zoomScale="72" zoomScaleNormal="66" workbookViewId="0">
      <selection activeCell="L28" sqref="L28"/>
    </sheetView>
  </sheetViews>
  <sheetFormatPr defaultColWidth="8.7265625" defaultRowHeight="12.5" x14ac:dyDescent="0.25"/>
  <cols>
    <col min="1" max="1" width="5.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17.1796875" style="341" customWidth="1"/>
    <col min="17" max="17" width="9" style="341" customWidth="1"/>
    <col min="18" max="18" width="8" style="341" customWidth="1"/>
    <col min="19" max="19" width="15.1796875" style="341" customWidth="1"/>
    <col min="20" max="20" width="30.54296875" style="341" customWidth="1"/>
    <col min="21" max="21" width="17" style="341" customWidth="1"/>
    <col min="22" max="22" width="15" style="341" customWidth="1"/>
    <col min="23" max="23" width="8.7265625" style="341"/>
    <col min="24" max="24" width="18.81640625" style="341" customWidth="1"/>
    <col min="25"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884" t="s">
        <v>313</v>
      </c>
      <c r="T3" s="2672"/>
      <c r="U3" s="2885"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'E-Gov Aplikasi'!B5:V5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591"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592"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598" t="s">
        <v>1212</v>
      </c>
      <c r="M8" s="2862" t="s">
        <v>1213</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1211</v>
      </c>
      <c r="M9" s="2866" t="s">
        <v>1214</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'E-Gov Aplikasi'!M10:V10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90</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586" t="s">
        <v>270</v>
      </c>
      <c r="M15" s="2859" t="s">
        <v>281</v>
      </c>
      <c r="N15" s="2851"/>
      <c r="O15" s="2851"/>
      <c r="P15" s="2860"/>
      <c r="Q15" s="2713" t="s">
        <v>270</v>
      </c>
      <c r="R15" s="2713"/>
      <c r="S15" s="2713"/>
      <c r="T15" s="2713" t="s">
        <v>281</v>
      </c>
      <c r="U15" s="2713"/>
      <c r="V15" s="2861"/>
      <c r="W15" s="520"/>
    </row>
    <row r="16" spans="2:24" ht="25" x14ac:dyDescent="0.3">
      <c r="B16" s="2817" t="s">
        <v>14</v>
      </c>
      <c r="C16" s="2818"/>
      <c r="D16" s="2818"/>
      <c r="E16" s="2818"/>
      <c r="F16" s="2818"/>
      <c r="G16" s="2818"/>
      <c r="H16" s="2818"/>
      <c r="I16" s="2818"/>
      <c r="J16" s="2818"/>
      <c r="K16" s="2882"/>
      <c r="L16" s="811" t="s">
        <v>1152</v>
      </c>
      <c r="M16" s="2507" t="s">
        <v>1215</v>
      </c>
      <c r="N16" s="2508"/>
      <c r="O16" s="2508"/>
      <c r="P16" s="2886"/>
      <c r="Q16" s="2821">
        <v>1</v>
      </c>
      <c r="R16" s="2822"/>
      <c r="S16" s="2822"/>
      <c r="T16" s="2872">
        <v>1</v>
      </c>
      <c r="U16" s="2873"/>
      <c r="V16" s="2874"/>
      <c r="W16" s="522"/>
      <c r="X16" s="523"/>
    </row>
    <row r="17" spans="2:22" ht="14" x14ac:dyDescent="0.3">
      <c r="B17" s="2817" t="s">
        <v>135</v>
      </c>
      <c r="C17" s="2818"/>
      <c r="D17" s="2818"/>
      <c r="E17" s="2818"/>
      <c r="F17" s="2818"/>
      <c r="G17" s="2818"/>
      <c r="H17" s="2818"/>
      <c r="I17" s="2818"/>
      <c r="J17" s="2818"/>
      <c r="K17" s="2882"/>
      <c r="L17" s="811" t="s">
        <v>430</v>
      </c>
      <c r="M17" s="2933" t="str">
        <f>L17</f>
        <v>Jumlah Dana Yang Dibutuhkan</v>
      </c>
      <c r="N17" s="2933"/>
      <c r="O17" s="2933"/>
      <c r="P17" s="2933"/>
      <c r="Q17" s="2839">
        <f>P28</f>
        <v>192447300</v>
      </c>
      <c r="R17" s="2840"/>
      <c r="S17" s="2841"/>
      <c r="T17" s="2842">
        <f>T28</f>
        <v>0</v>
      </c>
      <c r="U17" s="2842"/>
      <c r="V17" s="2843"/>
    </row>
    <row r="18" spans="2:22" ht="29.25" customHeight="1" x14ac:dyDescent="0.25">
      <c r="B18" s="2834" t="s">
        <v>136</v>
      </c>
      <c r="C18" s="2835"/>
      <c r="D18" s="2835"/>
      <c r="E18" s="2835"/>
      <c r="F18" s="2835"/>
      <c r="G18" s="2835"/>
      <c r="H18" s="2835"/>
      <c r="I18" s="2835"/>
      <c r="J18" s="2835"/>
      <c r="K18" s="2883"/>
      <c r="L18" s="811" t="s">
        <v>1154</v>
      </c>
      <c r="M18" s="2875" t="s">
        <v>1216</v>
      </c>
      <c r="N18" s="2875"/>
      <c r="O18" s="2875"/>
      <c r="P18" s="2875"/>
      <c r="Q18" s="2616" t="s">
        <v>398</v>
      </c>
      <c r="R18" s="2616"/>
      <c r="S18" s="2616"/>
      <c r="T18" s="2616" t="s">
        <v>398</v>
      </c>
      <c r="U18" s="2616"/>
      <c r="V18" s="2616"/>
    </row>
    <row r="19" spans="2:22" ht="25" x14ac:dyDescent="0.3">
      <c r="B19" s="2817" t="s">
        <v>137</v>
      </c>
      <c r="C19" s="2818"/>
      <c r="D19" s="2818"/>
      <c r="E19" s="2818"/>
      <c r="F19" s="2818"/>
      <c r="G19" s="2818"/>
      <c r="H19" s="2818"/>
      <c r="I19" s="2818"/>
      <c r="J19" s="2818"/>
      <c r="K19" s="2882"/>
      <c r="L19" s="811" t="s">
        <v>1155</v>
      </c>
      <c r="M19" s="2875" t="s">
        <v>1217</v>
      </c>
      <c r="N19" s="2875"/>
      <c r="O19" s="2875"/>
      <c r="P19" s="2875"/>
      <c r="Q19" s="2830">
        <v>0.94</v>
      </c>
      <c r="R19" s="2616"/>
      <c r="S19" s="2837"/>
      <c r="T19" s="2830">
        <v>0.9</v>
      </c>
      <c r="U19" s="2616"/>
      <c r="V19" s="2837"/>
    </row>
    <row r="20" spans="2:22" ht="14.25" customHeight="1" x14ac:dyDescent="0.3">
      <c r="B20" s="2824" t="s">
        <v>1156</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876"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876"/>
      <c r="M23" s="2640" t="s">
        <v>125</v>
      </c>
      <c r="N23" s="2641"/>
      <c r="O23" s="2642"/>
      <c r="P23" s="1596"/>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15" t="s">
        <v>122</v>
      </c>
      <c r="Q24" s="2878" t="s">
        <v>127</v>
      </c>
      <c r="R24" s="2880" t="s">
        <v>8</v>
      </c>
      <c r="S24" s="2880" t="s">
        <v>129</v>
      </c>
      <c r="T24" s="8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15" t="s">
        <v>123</v>
      </c>
      <c r="Q25" s="2879"/>
      <c r="R25" s="2881"/>
      <c r="S25" s="2881"/>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589" t="s">
        <v>7</v>
      </c>
      <c r="Q27" s="147">
        <v>7</v>
      </c>
      <c r="R27" s="147">
        <v>8</v>
      </c>
      <c r="S27" s="86">
        <v>9</v>
      </c>
      <c r="T27" s="90" t="s">
        <v>275</v>
      </c>
      <c r="U27" s="1337" t="s">
        <v>274</v>
      </c>
      <c r="V27" s="93">
        <v>12</v>
      </c>
    </row>
    <row r="28" spans="2:22" ht="13" thickTop="1" x14ac:dyDescent="0.25">
      <c r="B28" s="1934">
        <v>1</v>
      </c>
      <c r="C28" s="1935" t="s">
        <v>239</v>
      </c>
      <c r="D28" s="1935" t="s">
        <v>84</v>
      </c>
      <c r="E28" s="1936"/>
      <c r="F28" s="1376"/>
      <c r="G28" s="601">
        <v>5</v>
      </c>
      <c r="H28" s="601">
        <v>2</v>
      </c>
      <c r="I28" s="2269"/>
      <c r="J28" s="2270"/>
      <c r="K28" s="2270"/>
      <c r="L28" s="2271" t="s">
        <v>54</v>
      </c>
      <c r="M28" s="2272"/>
      <c r="N28" s="2273"/>
      <c r="O28" s="1967"/>
      <c r="P28" s="547">
        <f>P29</f>
        <v>192447300</v>
      </c>
      <c r="Q28" s="2274"/>
      <c r="R28" s="2275"/>
      <c r="S28" s="2190"/>
      <c r="T28" s="547">
        <f>T29</f>
        <v>0</v>
      </c>
      <c r="U28" s="424">
        <f>SUM(T28)-P28</f>
        <v>-192447300</v>
      </c>
      <c r="V28" s="425"/>
    </row>
    <row r="29" spans="2:22" ht="25" x14ac:dyDescent="0.25">
      <c r="B29" s="1101">
        <v>1</v>
      </c>
      <c r="C29" s="1102" t="s">
        <v>239</v>
      </c>
      <c r="D29" s="1102" t="s">
        <v>84</v>
      </c>
      <c r="E29" s="826">
        <v>16</v>
      </c>
      <c r="F29" s="2276"/>
      <c r="G29" s="2277"/>
      <c r="H29" s="2277"/>
      <c r="I29" s="2277"/>
      <c r="J29" s="2278"/>
      <c r="K29" s="2278"/>
      <c r="L29" s="1939" t="s">
        <v>1149</v>
      </c>
      <c r="M29" s="2272"/>
      <c r="N29" s="1967"/>
      <c r="O29" s="1968"/>
      <c r="P29" s="868">
        <f>P30</f>
        <v>192447300</v>
      </c>
      <c r="Q29" s="2272"/>
      <c r="R29" s="1967"/>
      <c r="S29" s="1968"/>
      <c r="T29" s="868">
        <f>T30</f>
        <v>0</v>
      </c>
      <c r="U29" s="2097"/>
      <c r="V29" s="761"/>
    </row>
    <row r="30" spans="2:22" ht="25" x14ac:dyDescent="0.25">
      <c r="B30" s="654">
        <v>1</v>
      </c>
      <c r="C30" s="564" t="s">
        <v>239</v>
      </c>
      <c r="D30" s="564" t="s">
        <v>84</v>
      </c>
      <c r="E30" s="826">
        <v>16</v>
      </c>
      <c r="F30" s="2279" t="s">
        <v>84</v>
      </c>
      <c r="G30" s="2277"/>
      <c r="H30" s="2277"/>
      <c r="I30" s="2280"/>
      <c r="J30" s="2278"/>
      <c r="K30" s="2278"/>
      <c r="L30" s="823" t="s">
        <v>1151</v>
      </c>
      <c r="M30" s="2272"/>
      <c r="N30" s="1967"/>
      <c r="O30" s="1968"/>
      <c r="P30" s="868">
        <f>P32+P70</f>
        <v>192447300</v>
      </c>
      <c r="Q30" s="2272"/>
      <c r="R30" s="1967"/>
      <c r="S30" s="1968"/>
      <c r="T30" s="868">
        <f>T32+T70</f>
        <v>0</v>
      </c>
      <c r="U30" s="428">
        <f>SUM(T30)-P30</f>
        <v>-192447300</v>
      </c>
      <c r="V30" s="761"/>
    </row>
    <row r="31" spans="2:22" x14ac:dyDescent="0.25">
      <c r="B31" s="486"/>
      <c r="C31" s="487"/>
      <c r="D31" s="487"/>
      <c r="E31" s="1650"/>
      <c r="F31" s="487"/>
      <c r="G31" s="473"/>
      <c r="H31" s="473"/>
      <c r="I31" s="489"/>
      <c r="J31" s="489"/>
      <c r="K31" s="487"/>
      <c r="L31" s="1971"/>
      <c r="M31" s="2272"/>
      <c r="N31" s="1967"/>
      <c r="O31" s="1968"/>
      <c r="P31" s="547"/>
      <c r="Q31" s="2272"/>
      <c r="R31" s="1967"/>
      <c r="S31" s="1968"/>
      <c r="T31" s="547"/>
      <c r="U31" s="2097"/>
      <c r="V31" s="761"/>
    </row>
    <row r="32" spans="2:22" ht="25.5" customHeight="1" x14ac:dyDescent="0.25">
      <c r="B32" s="654">
        <v>1</v>
      </c>
      <c r="C32" s="564" t="s">
        <v>239</v>
      </c>
      <c r="D32" s="564" t="s">
        <v>84</v>
      </c>
      <c r="E32" s="826">
        <v>16</v>
      </c>
      <c r="F32" s="2279" t="s">
        <v>84</v>
      </c>
      <c r="G32" s="2281">
        <v>5</v>
      </c>
      <c r="H32" s="2281">
        <v>2</v>
      </c>
      <c r="I32" s="2282">
        <v>1</v>
      </c>
      <c r="J32" s="2282"/>
      <c r="K32" s="2282"/>
      <c r="L32" s="2283" t="s">
        <v>39</v>
      </c>
      <c r="M32" s="2284"/>
      <c r="N32" s="1990"/>
      <c r="O32" s="2285"/>
      <c r="P32" s="2286">
        <f>P33</f>
        <v>59700000</v>
      </c>
      <c r="Q32" s="2284"/>
      <c r="R32" s="1990"/>
      <c r="S32" s="2285"/>
      <c r="T32" s="2286">
        <f>T33+T66</f>
        <v>0</v>
      </c>
      <c r="U32" s="428">
        <f>SUM(T32)-P32</f>
        <v>-59700000</v>
      </c>
      <c r="V32" s="761"/>
    </row>
    <row r="33" spans="2:22" x14ac:dyDescent="0.25">
      <c r="B33" s="654">
        <v>1</v>
      </c>
      <c r="C33" s="564" t="s">
        <v>239</v>
      </c>
      <c r="D33" s="564" t="s">
        <v>84</v>
      </c>
      <c r="E33" s="826">
        <v>16</v>
      </c>
      <c r="F33" s="2279" t="s">
        <v>84</v>
      </c>
      <c r="G33" s="2281">
        <v>5</v>
      </c>
      <c r="H33" s="2281">
        <v>2</v>
      </c>
      <c r="I33" s="2282">
        <v>1</v>
      </c>
      <c r="J33" s="2287" t="s">
        <v>84</v>
      </c>
      <c r="K33" s="2282"/>
      <c r="L33" s="2288" t="s">
        <v>96</v>
      </c>
      <c r="M33" s="2284"/>
      <c r="N33" s="2289"/>
      <c r="O33" s="2290"/>
      <c r="P33" s="2286">
        <f>P34+P37</f>
        <v>59700000</v>
      </c>
      <c r="Q33" s="2284"/>
      <c r="R33" s="2289"/>
      <c r="S33" s="2290"/>
      <c r="T33" s="2286">
        <f>T34+T37</f>
        <v>0</v>
      </c>
      <c r="U33" s="428">
        <f>SUM(T33)-P33</f>
        <v>-59700000</v>
      </c>
      <c r="V33" s="761"/>
    </row>
    <row r="34" spans="2:22" x14ac:dyDescent="0.25">
      <c r="B34" s="654">
        <v>1</v>
      </c>
      <c r="C34" s="564" t="s">
        <v>239</v>
      </c>
      <c r="D34" s="564" t="s">
        <v>84</v>
      </c>
      <c r="E34" s="826">
        <v>16</v>
      </c>
      <c r="F34" s="2279" t="s">
        <v>84</v>
      </c>
      <c r="G34" s="2281">
        <v>5</v>
      </c>
      <c r="H34" s="2281">
        <v>2</v>
      </c>
      <c r="I34" s="2282">
        <v>1</v>
      </c>
      <c r="J34" s="2287" t="s">
        <v>84</v>
      </c>
      <c r="K34" s="2287" t="s">
        <v>84</v>
      </c>
      <c r="L34" s="2291" t="s">
        <v>85</v>
      </c>
      <c r="M34" s="2292"/>
      <c r="N34" s="1987"/>
      <c r="O34" s="1990"/>
      <c r="P34" s="2028">
        <f>P35</f>
        <v>1650000</v>
      </c>
      <c r="Q34" s="2292"/>
      <c r="R34" s="1987"/>
      <c r="S34" s="1990"/>
      <c r="T34" s="2028">
        <f>T35</f>
        <v>0</v>
      </c>
      <c r="U34" s="428">
        <f>SUM(T34)-P34</f>
        <v>-1650000</v>
      </c>
      <c r="V34" s="439">
        <f>U34/P34*100</f>
        <v>-100</v>
      </c>
    </row>
    <row r="35" spans="2:22" x14ac:dyDescent="0.25">
      <c r="B35" s="2293"/>
      <c r="C35" s="2287"/>
      <c r="D35" s="2287"/>
      <c r="E35" s="2294"/>
      <c r="F35" s="2287"/>
      <c r="G35" s="2282"/>
      <c r="H35" s="2282"/>
      <c r="I35" s="2295"/>
      <c r="J35" s="2296"/>
      <c r="K35" s="2287"/>
      <c r="L35" s="2297" t="s">
        <v>1157</v>
      </c>
      <c r="M35" s="2298">
        <v>6</v>
      </c>
      <c r="N35" s="1987" t="s">
        <v>82</v>
      </c>
      <c r="O35" s="1988">
        <v>275000</v>
      </c>
      <c r="P35" s="2028">
        <f>O35*M35</f>
        <v>1650000</v>
      </c>
      <c r="Q35" s="2298"/>
      <c r="R35" s="1987"/>
      <c r="S35" s="1988"/>
      <c r="T35" s="2028">
        <f>S35*Q35</f>
        <v>0</v>
      </c>
      <c r="U35" s="428">
        <f>SUM(T35)-P35</f>
        <v>-1650000</v>
      </c>
      <c r="V35" s="761"/>
    </row>
    <row r="36" spans="2:22" x14ac:dyDescent="0.25">
      <c r="B36" s="1692"/>
      <c r="C36" s="1693"/>
      <c r="D36" s="1693"/>
      <c r="E36" s="1694"/>
      <c r="F36" s="1693"/>
      <c r="G36" s="1695"/>
      <c r="H36" s="1695"/>
      <c r="I36" s="1696"/>
      <c r="J36" s="1696"/>
      <c r="K36" s="1693"/>
      <c r="L36" s="1976"/>
      <c r="M36" s="2299"/>
      <c r="N36" s="1978"/>
      <c r="O36" s="1979"/>
      <c r="P36" s="2026"/>
      <c r="Q36" s="2299"/>
      <c r="R36" s="1978"/>
      <c r="S36" s="1979"/>
      <c r="T36" s="2026"/>
      <c r="U36" s="428">
        <f>SUM(T36)-P36</f>
        <v>0</v>
      </c>
      <c r="V36" s="761"/>
    </row>
    <row r="37" spans="2:22" x14ac:dyDescent="0.25">
      <c r="B37" s="654">
        <v>1</v>
      </c>
      <c r="C37" s="564" t="s">
        <v>239</v>
      </c>
      <c r="D37" s="564" t="s">
        <v>84</v>
      </c>
      <c r="E37" s="826">
        <v>16</v>
      </c>
      <c r="F37" s="2279" t="s">
        <v>84</v>
      </c>
      <c r="G37" s="1695">
        <v>5</v>
      </c>
      <c r="H37" s="1695">
        <v>2</v>
      </c>
      <c r="I37" s="1696">
        <v>1</v>
      </c>
      <c r="J37" s="1693" t="s">
        <v>84</v>
      </c>
      <c r="K37" s="1693" t="s">
        <v>112</v>
      </c>
      <c r="L37" s="1980" t="s">
        <v>174</v>
      </c>
      <c r="M37" s="2300"/>
      <c r="N37" s="1982"/>
      <c r="O37" s="1983"/>
      <c r="P37" s="2027">
        <f>P38+P48</f>
        <v>58050000</v>
      </c>
      <c r="Q37" s="2300"/>
      <c r="R37" s="1982"/>
      <c r="S37" s="1983"/>
      <c r="T37" s="2027">
        <f>T38+T48+T55</f>
        <v>0</v>
      </c>
      <c r="U37" s="2097"/>
      <c r="V37" s="761"/>
    </row>
    <row r="38" spans="2:22" x14ac:dyDescent="0.25">
      <c r="B38" s="654"/>
      <c r="C38" s="564"/>
      <c r="D38" s="564"/>
      <c r="E38" s="2277"/>
      <c r="F38" s="2280"/>
      <c r="G38" s="1696"/>
      <c r="H38" s="1696"/>
      <c r="I38" s="535"/>
      <c r="J38" s="532"/>
      <c r="K38" s="1693"/>
      <c r="L38" s="1980" t="s">
        <v>1158</v>
      </c>
      <c r="M38" s="2300"/>
      <c r="N38" s="1982"/>
      <c r="O38" s="1983"/>
      <c r="P38" s="2027">
        <f>SUM(P39:P46)</f>
        <v>43350000</v>
      </c>
      <c r="Q38" s="2300"/>
      <c r="R38" s="1982"/>
      <c r="S38" s="1983"/>
      <c r="T38" s="2027">
        <f>SUM(T39:T46)</f>
        <v>0</v>
      </c>
      <c r="U38" s="2097"/>
      <c r="V38" s="761"/>
    </row>
    <row r="39" spans="2:22" x14ac:dyDescent="0.25">
      <c r="B39" s="1692"/>
      <c r="C39" s="1693"/>
      <c r="D39" s="1693"/>
      <c r="E39" s="2301"/>
      <c r="F39" s="1693"/>
      <c r="G39" s="1696"/>
      <c r="H39" s="1696"/>
      <c r="I39" s="535"/>
      <c r="J39" s="532"/>
      <c r="K39" s="1693"/>
      <c r="L39" s="1980" t="s">
        <v>1159</v>
      </c>
      <c r="M39" s="2302">
        <f>2*6</f>
        <v>12</v>
      </c>
      <c r="N39" s="1687" t="s">
        <v>88</v>
      </c>
      <c r="O39" s="1983">
        <v>500000</v>
      </c>
      <c r="P39" s="1983">
        <f>O39*M39</f>
        <v>6000000</v>
      </c>
      <c r="Q39" s="2302"/>
      <c r="R39" s="1687"/>
      <c r="S39" s="1983"/>
      <c r="T39" s="1983">
        <f>S39*Q39</f>
        <v>0</v>
      </c>
      <c r="U39" s="428">
        <f>SUM(T39)-P39</f>
        <v>-6000000</v>
      </c>
      <c r="V39" s="643">
        <f>U39/P39*100</f>
        <v>-100</v>
      </c>
    </row>
    <row r="40" spans="2:22" x14ac:dyDescent="0.25">
      <c r="B40" s="1692"/>
      <c r="C40" s="1693"/>
      <c r="D40" s="1693"/>
      <c r="E40" s="1694"/>
      <c r="F40" s="1694"/>
      <c r="G40" s="1695"/>
      <c r="H40" s="1695"/>
      <c r="I40" s="1696"/>
      <c r="J40" s="1696"/>
      <c r="K40" s="1696"/>
      <c r="L40" s="1984" t="s">
        <v>1160</v>
      </c>
      <c r="M40" s="2302">
        <v>6</v>
      </c>
      <c r="N40" s="1687" t="s">
        <v>88</v>
      </c>
      <c r="O40" s="1983">
        <v>450000</v>
      </c>
      <c r="P40" s="1983">
        <f t="shared" ref="P40:P46" si="0">O40*M40</f>
        <v>2700000</v>
      </c>
      <c r="Q40" s="2302"/>
      <c r="R40" s="1687"/>
      <c r="S40" s="1983"/>
      <c r="T40" s="1983">
        <f t="shared" ref="T40:T46" si="1">S40*Q40</f>
        <v>0</v>
      </c>
      <c r="U40" s="428">
        <f>SUM(T40)-P40</f>
        <v>-2700000</v>
      </c>
      <c r="V40" s="439">
        <f>U40/P40*100</f>
        <v>-100</v>
      </c>
    </row>
    <row r="41" spans="2:22" x14ac:dyDescent="0.25">
      <c r="B41" s="1692"/>
      <c r="C41" s="1693"/>
      <c r="D41" s="1693"/>
      <c r="E41" s="1694"/>
      <c r="F41" s="1694"/>
      <c r="G41" s="1695"/>
      <c r="H41" s="1695"/>
      <c r="I41" s="1696"/>
      <c r="J41" s="1696"/>
      <c r="K41" s="1696"/>
      <c r="L41" s="1984" t="s">
        <v>1161</v>
      </c>
      <c r="M41" s="2303">
        <v>6</v>
      </c>
      <c r="N41" s="1687" t="s">
        <v>88</v>
      </c>
      <c r="O41" s="1983">
        <v>400000</v>
      </c>
      <c r="P41" s="1983">
        <f t="shared" si="0"/>
        <v>2400000</v>
      </c>
      <c r="Q41" s="2303"/>
      <c r="R41" s="1687"/>
      <c r="S41" s="1983"/>
      <c r="T41" s="1983">
        <f t="shared" si="1"/>
        <v>0</v>
      </c>
      <c r="U41" s="2097"/>
      <c r="V41" s="761"/>
    </row>
    <row r="42" spans="2:22" x14ac:dyDescent="0.25">
      <c r="B42" s="1692"/>
      <c r="C42" s="1693"/>
      <c r="D42" s="1693"/>
      <c r="E42" s="1694"/>
      <c r="F42" s="1694"/>
      <c r="G42" s="1695"/>
      <c r="H42" s="1695"/>
      <c r="I42" s="1696"/>
      <c r="J42" s="1696"/>
      <c r="K42" s="1696"/>
      <c r="L42" s="1984" t="s">
        <v>1162</v>
      </c>
      <c r="M42" s="2303">
        <v>6</v>
      </c>
      <c r="N42" s="1687" t="s">
        <v>88</v>
      </c>
      <c r="O42" s="1983">
        <v>350000</v>
      </c>
      <c r="P42" s="1983">
        <f t="shared" si="0"/>
        <v>2100000</v>
      </c>
      <c r="Q42" s="2303"/>
      <c r="R42" s="1687"/>
      <c r="S42" s="1983"/>
      <c r="T42" s="1983">
        <f t="shared" si="1"/>
        <v>0</v>
      </c>
      <c r="U42" s="2097"/>
      <c r="V42" s="761"/>
    </row>
    <row r="43" spans="2:22" x14ac:dyDescent="0.25">
      <c r="B43" s="1692"/>
      <c r="C43" s="1693"/>
      <c r="D43" s="1693"/>
      <c r="E43" s="1694"/>
      <c r="F43" s="1694"/>
      <c r="G43" s="1695"/>
      <c r="H43" s="1695"/>
      <c r="I43" s="1696"/>
      <c r="J43" s="1696"/>
      <c r="K43" s="1696"/>
      <c r="L43" s="1984" t="s">
        <v>1163</v>
      </c>
      <c r="M43" s="2303">
        <v>6</v>
      </c>
      <c r="N43" s="1687" t="s">
        <v>88</v>
      </c>
      <c r="O43" s="1983">
        <v>325000</v>
      </c>
      <c r="P43" s="1983">
        <f t="shared" si="0"/>
        <v>1950000</v>
      </c>
      <c r="Q43" s="2303"/>
      <c r="R43" s="1687"/>
      <c r="S43" s="1983"/>
      <c r="T43" s="1983">
        <f t="shared" si="1"/>
        <v>0</v>
      </c>
      <c r="U43" s="2097"/>
      <c r="V43" s="761"/>
    </row>
    <row r="44" spans="2:22" x14ac:dyDescent="0.25">
      <c r="B44" s="1692"/>
      <c r="C44" s="1693"/>
      <c r="D44" s="1693"/>
      <c r="E44" s="1694"/>
      <c r="F44" s="1694"/>
      <c r="G44" s="1695"/>
      <c r="H44" s="1695"/>
      <c r="I44" s="1696"/>
      <c r="J44" s="1696"/>
      <c r="K44" s="1696"/>
      <c r="L44" s="1984" t="s">
        <v>1164</v>
      </c>
      <c r="M44" s="2303">
        <v>6</v>
      </c>
      <c r="N44" s="1687" t="s">
        <v>88</v>
      </c>
      <c r="O44" s="1983">
        <v>300000</v>
      </c>
      <c r="P44" s="1983">
        <f t="shared" si="0"/>
        <v>1800000</v>
      </c>
      <c r="Q44" s="2303"/>
      <c r="R44" s="1687"/>
      <c r="S44" s="1983"/>
      <c r="T44" s="1983">
        <f t="shared" si="1"/>
        <v>0</v>
      </c>
      <c r="U44" s="2097"/>
      <c r="V44" s="761"/>
    </row>
    <row r="45" spans="2:22" x14ac:dyDescent="0.25">
      <c r="B45" s="1692"/>
      <c r="C45" s="1693"/>
      <c r="D45" s="1693"/>
      <c r="E45" s="1694"/>
      <c r="F45" s="1694"/>
      <c r="G45" s="1695"/>
      <c r="H45" s="1695"/>
      <c r="I45" s="1696"/>
      <c r="J45" s="1696"/>
      <c r="K45" s="1696"/>
      <c r="L45" s="1984" t="s">
        <v>1165</v>
      </c>
      <c r="M45" s="2303">
        <f>16*6</f>
        <v>96</v>
      </c>
      <c r="N45" s="1687" t="s">
        <v>88</v>
      </c>
      <c r="O45" s="1983">
        <v>250000</v>
      </c>
      <c r="P45" s="1983">
        <f t="shared" si="0"/>
        <v>24000000</v>
      </c>
      <c r="Q45" s="2303"/>
      <c r="R45" s="1687"/>
      <c r="S45" s="1983"/>
      <c r="T45" s="1983">
        <f t="shared" si="1"/>
        <v>0</v>
      </c>
      <c r="U45" s="2097"/>
      <c r="V45" s="761"/>
    </row>
    <row r="46" spans="2:22" ht="25" x14ac:dyDescent="0.25">
      <c r="B46" s="1692"/>
      <c r="C46" s="1693"/>
      <c r="D46" s="1693"/>
      <c r="E46" s="1694"/>
      <c r="F46" s="1694"/>
      <c r="G46" s="1695"/>
      <c r="H46" s="1695"/>
      <c r="I46" s="1696"/>
      <c r="J46" s="1696"/>
      <c r="K46" s="1696"/>
      <c r="L46" s="2304" t="s">
        <v>1166</v>
      </c>
      <c r="M46" s="2303">
        <f>2*6</f>
        <v>12</v>
      </c>
      <c r="N46" s="1687" t="s">
        <v>88</v>
      </c>
      <c r="O46" s="1983">
        <v>200000</v>
      </c>
      <c r="P46" s="1983">
        <f t="shared" si="0"/>
        <v>2400000</v>
      </c>
      <c r="Q46" s="2303"/>
      <c r="R46" s="1687"/>
      <c r="S46" s="1983"/>
      <c r="T46" s="1983">
        <f t="shared" si="1"/>
        <v>0</v>
      </c>
      <c r="U46" s="2097"/>
      <c r="V46" s="761"/>
    </row>
    <row r="47" spans="2:22" x14ac:dyDescent="0.25">
      <c r="B47" s="1692"/>
      <c r="C47" s="1693"/>
      <c r="D47" s="1693"/>
      <c r="E47" s="1694"/>
      <c r="F47" s="1694"/>
      <c r="G47" s="1695"/>
      <c r="H47" s="1695"/>
      <c r="I47" s="1696"/>
      <c r="J47" s="1696"/>
      <c r="K47" s="1696"/>
      <c r="L47" s="1984"/>
      <c r="M47" s="2303"/>
      <c r="N47" s="1687"/>
      <c r="O47" s="1983"/>
      <c r="P47" s="1983"/>
      <c r="Q47" s="2303"/>
      <c r="R47" s="1687"/>
      <c r="S47" s="1983"/>
      <c r="T47" s="1983"/>
      <c r="U47" s="2097"/>
      <c r="V47" s="761"/>
    </row>
    <row r="48" spans="2:22" x14ac:dyDescent="0.25">
      <c r="B48" s="1692"/>
      <c r="C48" s="1693"/>
      <c r="D48" s="1693"/>
      <c r="E48" s="1694"/>
      <c r="F48" s="1694"/>
      <c r="G48" s="1695"/>
      <c r="H48" s="1695"/>
      <c r="I48" s="1696"/>
      <c r="J48" s="1696"/>
      <c r="K48" s="1696"/>
      <c r="L48" s="1984" t="s">
        <v>1167</v>
      </c>
      <c r="M48" s="2303"/>
      <c r="N48" s="1687"/>
      <c r="O48" s="1983"/>
      <c r="P48" s="2305">
        <f>SUM(P49:P53)</f>
        <v>14700000</v>
      </c>
      <c r="Q48" s="2303"/>
      <c r="R48" s="1687"/>
      <c r="S48" s="1983"/>
      <c r="T48" s="2305">
        <f>SUM(T49:T53)</f>
        <v>0</v>
      </c>
      <c r="U48" s="2097"/>
      <c r="V48" s="761"/>
    </row>
    <row r="49" spans="2:22" x14ac:dyDescent="0.25">
      <c r="B49" s="1692"/>
      <c r="C49" s="1693"/>
      <c r="D49" s="1693"/>
      <c r="E49" s="1694"/>
      <c r="F49" s="1694"/>
      <c r="G49" s="1695"/>
      <c r="H49" s="1695"/>
      <c r="I49" s="1696"/>
      <c r="J49" s="1696"/>
      <c r="K49" s="1696"/>
      <c r="L49" s="1980" t="s">
        <v>1159</v>
      </c>
      <c r="M49" s="2303">
        <v>6</v>
      </c>
      <c r="N49" s="1687" t="s">
        <v>88</v>
      </c>
      <c r="O49" s="1983">
        <v>500000</v>
      </c>
      <c r="P49" s="1983">
        <f t="shared" ref="P49:P53" si="2">O49*M49</f>
        <v>3000000</v>
      </c>
      <c r="Q49" s="2303"/>
      <c r="R49" s="1687"/>
      <c r="S49" s="1983"/>
      <c r="T49" s="1983">
        <f t="shared" ref="T49:T53" si="3">S49*Q49</f>
        <v>0</v>
      </c>
      <c r="U49" s="2097"/>
      <c r="V49" s="761"/>
    </row>
    <row r="50" spans="2:22" x14ac:dyDescent="0.25">
      <c r="B50" s="1692"/>
      <c r="C50" s="1693"/>
      <c r="D50" s="1693"/>
      <c r="E50" s="1694"/>
      <c r="F50" s="1694"/>
      <c r="G50" s="1695"/>
      <c r="H50" s="1695"/>
      <c r="I50" s="1696"/>
      <c r="J50" s="1696"/>
      <c r="K50" s="1696"/>
      <c r="L50" s="1984" t="s">
        <v>1160</v>
      </c>
      <c r="M50" s="2303">
        <v>6</v>
      </c>
      <c r="N50" s="1687" t="s">
        <v>88</v>
      </c>
      <c r="O50" s="1983">
        <v>450000</v>
      </c>
      <c r="P50" s="1983">
        <f t="shared" si="2"/>
        <v>2700000</v>
      </c>
      <c r="Q50" s="2303"/>
      <c r="R50" s="1687"/>
      <c r="S50" s="1983"/>
      <c r="T50" s="1983">
        <f t="shared" si="3"/>
        <v>0</v>
      </c>
      <c r="U50" s="2097"/>
      <c r="V50" s="761"/>
    </row>
    <row r="51" spans="2:22" x14ac:dyDescent="0.25">
      <c r="B51" s="1692"/>
      <c r="C51" s="1693"/>
      <c r="D51" s="1693"/>
      <c r="E51" s="1694"/>
      <c r="F51" s="1694"/>
      <c r="G51" s="1695"/>
      <c r="H51" s="1695"/>
      <c r="I51" s="1696"/>
      <c r="J51" s="1696"/>
      <c r="K51" s="1696"/>
      <c r="L51" s="1984" t="s">
        <v>1161</v>
      </c>
      <c r="M51" s="2303">
        <v>6</v>
      </c>
      <c r="N51" s="1687" t="s">
        <v>88</v>
      </c>
      <c r="O51" s="1983">
        <v>400000</v>
      </c>
      <c r="P51" s="1983">
        <f t="shared" si="2"/>
        <v>2400000</v>
      </c>
      <c r="Q51" s="2303"/>
      <c r="R51" s="1687"/>
      <c r="S51" s="1983"/>
      <c r="T51" s="1983">
        <f t="shared" si="3"/>
        <v>0</v>
      </c>
      <c r="U51" s="2097"/>
      <c r="V51" s="761"/>
    </row>
    <row r="52" spans="2:22" x14ac:dyDescent="0.25">
      <c r="B52" s="1692"/>
      <c r="C52" s="1693"/>
      <c r="D52" s="1693"/>
      <c r="E52" s="1694"/>
      <c r="F52" s="1694"/>
      <c r="G52" s="1695"/>
      <c r="H52" s="1695"/>
      <c r="I52" s="1696"/>
      <c r="J52" s="1696"/>
      <c r="K52" s="1696"/>
      <c r="L52" s="1984" t="s">
        <v>1162</v>
      </c>
      <c r="M52" s="2303">
        <v>6</v>
      </c>
      <c r="N52" s="1687" t="s">
        <v>88</v>
      </c>
      <c r="O52" s="1983">
        <v>350000</v>
      </c>
      <c r="P52" s="1983">
        <f t="shared" si="2"/>
        <v>2100000</v>
      </c>
      <c r="Q52" s="2303"/>
      <c r="R52" s="1687"/>
      <c r="S52" s="1983"/>
      <c r="T52" s="1983">
        <f t="shared" si="3"/>
        <v>0</v>
      </c>
      <c r="U52" s="2097"/>
      <c r="V52" s="761"/>
    </row>
    <row r="53" spans="2:22" x14ac:dyDescent="0.25">
      <c r="B53" s="1692"/>
      <c r="C53" s="1693"/>
      <c r="D53" s="1693"/>
      <c r="E53" s="1694"/>
      <c r="F53" s="1694"/>
      <c r="G53" s="1695"/>
      <c r="H53" s="1695"/>
      <c r="I53" s="1696"/>
      <c r="J53" s="1696"/>
      <c r="K53" s="1696"/>
      <c r="L53" s="1984" t="s">
        <v>1168</v>
      </c>
      <c r="M53" s="2303">
        <f>3*6</f>
        <v>18</v>
      </c>
      <c r="N53" s="1687" t="s">
        <v>88</v>
      </c>
      <c r="O53" s="1983">
        <v>250000</v>
      </c>
      <c r="P53" s="1983">
        <f t="shared" si="2"/>
        <v>4500000</v>
      </c>
      <c r="Q53" s="2303"/>
      <c r="R53" s="1687"/>
      <c r="S53" s="1983"/>
      <c r="T53" s="1983">
        <f t="shared" si="3"/>
        <v>0</v>
      </c>
      <c r="U53" s="2097"/>
      <c r="V53" s="761"/>
    </row>
    <row r="54" spans="2:22" x14ac:dyDescent="0.25">
      <c r="B54" s="1692"/>
      <c r="C54" s="1693"/>
      <c r="D54" s="1693"/>
      <c r="E54" s="1694"/>
      <c r="F54" s="1694"/>
      <c r="G54" s="1695"/>
      <c r="H54" s="1695"/>
      <c r="I54" s="1696"/>
      <c r="J54" s="1696"/>
      <c r="K54" s="1696"/>
      <c r="L54" s="1984"/>
      <c r="M54" s="2303"/>
      <c r="N54" s="1687"/>
      <c r="O54" s="1983"/>
      <c r="P54" s="1983"/>
      <c r="Q54" s="2303"/>
      <c r="R54" s="1687"/>
      <c r="S54" s="1983"/>
      <c r="T54" s="1983"/>
      <c r="U54" s="2097"/>
      <c r="V54" s="761"/>
    </row>
    <row r="55" spans="2:22" x14ac:dyDescent="0.25">
      <c r="B55" s="1692"/>
      <c r="C55" s="1693"/>
      <c r="D55" s="1693"/>
      <c r="E55" s="1694"/>
      <c r="F55" s="1694"/>
      <c r="G55" s="1695"/>
      <c r="H55" s="1695"/>
      <c r="I55" s="1696"/>
      <c r="J55" s="1696"/>
      <c r="K55" s="1696"/>
      <c r="L55" s="1984" t="s">
        <v>1169</v>
      </c>
      <c r="M55" s="2303"/>
      <c r="N55" s="1687"/>
      <c r="O55" s="1983"/>
      <c r="P55" s="1983"/>
      <c r="Q55" s="2303"/>
      <c r="R55" s="1687"/>
      <c r="S55" s="1983"/>
      <c r="T55" s="1983">
        <f>SUM(T56:T63)</f>
        <v>0</v>
      </c>
      <c r="U55" s="2097"/>
      <c r="V55" s="761"/>
    </row>
    <row r="56" spans="2:22" x14ac:dyDescent="0.25">
      <c r="B56" s="1692"/>
      <c r="C56" s="1693"/>
      <c r="D56" s="1693"/>
      <c r="E56" s="1694"/>
      <c r="F56" s="1694"/>
      <c r="G56" s="1695"/>
      <c r="H56" s="1695"/>
      <c r="I56" s="1696"/>
      <c r="J56" s="1696"/>
      <c r="K56" s="1696"/>
      <c r="L56" s="2306" t="s">
        <v>1170</v>
      </c>
      <c r="M56" s="1986"/>
      <c r="N56" s="1990"/>
      <c r="O56" s="1991"/>
      <c r="P56" s="2028"/>
      <c r="Q56" s="1986"/>
      <c r="R56" s="1990"/>
      <c r="S56" s="1991"/>
      <c r="T56" s="2028">
        <f>Q56*S56</f>
        <v>0</v>
      </c>
      <c r="U56" s="2097"/>
      <c r="V56" s="761"/>
    </row>
    <row r="57" spans="2:22" x14ac:dyDescent="0.25">
      <c r="B57" s="1692"/>
      <c r="C57" s="1693"/>
      <c r="D57" s="1693"/>
      <c r="E57" s="1694"/>
      <c r="F57" s="1694"/>
      <c r="G57" s="1695"/>
      <c r="H57" s="1695"/>
      <c r="I57" s="1696"/>
      <c r="J57" s="1696"/>
      <c r="K57" s="1696"/>
      <c r="L57" s="1992" t="s">
        <v>1171</v>
      </c>
      <c r="M57" s="1986"/>
      <c r="N57" s="1990"/>
      <c r="O57" s="1991"/>
      <c r="P57" s="2028"/>
      <c r="Q57" s="1986"/>
      <c r="R57" s="1990"/>
      <c r="S57" s="1991"/>
      <c r="T57" s="2028">
        <f>Q57*S57</f>
        <v>0</v>
      </c>
      <c r="U57" s="2097"/>
      <c r="V57" s="761"/>
    </row>
    <row r="58" spans="2:22" x14ac:dyDescent="0.25">
      <c r="B58" s="1692"/>
      <c r="C58" s="1693"/>
      <c r="D58" s="1693"/>
      <c r="E58" s="1694"/>
      <c r="F58" s="1694"/>
      <c r="G58" s="1695"/>
      <c r="H58" s="1695"/>
      <c r="I58" s="1696"/>
      <c r="J58" s="1696"/>
      <c r="K58" s="1696"/>
      <c r="L58" s="1993" t="s">
        <v>1172</v>
      </c>
      <c r="M58" s="1986"/>
      <c r="N58" s="1990"/>
      <c r="O58" s="1991"/>
      <c r="P58" s="2028"/>
      <c r="Q58" s="1986"/>
      <c r="R58" s="1990"/>
      <c r="S58" s="1991"/>
      <c r="T58" s="2028">
        <f>Q58*S58</f>
        <v>0</v>
      </c>
      <c r="U58" s="2097"/>
      <c r="V58" s="761"/>
    </row>
    <row r="59" spans="2:22" x14ac:dyDescent="0.25">
      <c r="B59" s="1692"/>
      <c r="C59" s="1693"/>
      <c r="D59" s="1693"/>
      <c r="E59" s="1694"/>
      <c r="F59" s="1694"/>
      <c r="G59" s="1695"/>
      <c r="H59" s="1695"/>
      <c r="I59" s="1696"/>
      <c r="J59" s="1696"/>
      <c r="K59" s="1696"/>
      <c r="L59" s="1993" t="s">
        <v>1173</v>
      </c>
      <c r="M59" s="1986"/>
      <c r="N59" s="1990"/>
      <c r="O59" s="1991"/>
      <c r="P59" s="2028"/>
      <c r="Q59" s="1986"/>
      <c r="R59" s="1990"/>
      <c r="S59" s="1991"/>
      <c r="T59" s="2028">
        <f>S59*Q59</f>
        <v>0</v>
      </c>
      <c r="U59" s="2097"/>
      <c r="V59" s="761"/>
    </row>
    <row r="60" spans="2:22" x14ac:dyDescent="0.25">
      <c r="B60" s="1692"/>
      <c r="C60" s="1693"/>
      <c r="D60" s="1693"/>
      <c r="E60" s="1694"/>
      <c r="F60" s="1694"/>
      <c r="G60" s="1695"/>
      <c r="H60" s="1695"/>
      <c r="I60" s="1696"/>
      <c r="J60" s="1696"/>
      <c r="K60" s="1696"/>
      <c r="L60" s="1993" t="s">
        <v>1174</v>
      </c>
      <c r="M60" s="1986"/>
      <c r="N60" s="1990"/>
      <c r="O60" s="1991"/>
      <c r="P60" s="2028"/>
      <c r="Q60" s="1986"/>
      <c r="R60" s="1990"/>
      <c r="S60" s="1991"/>
      <c r="T60" s="2028">
        <f>S60*Q60</f>
        <v>0</v>
      </c>
      <c r="U60" s="2097"/>
      <c r="V60" s="761"/>
    </row>
    <row r="61" spans="2:22" x14ac:dyDescent="0.25">
      <c r="B61" s="1692"/>
      <c r="C61" s="1693"/>
      <c r="D61" s="1693"/>
      <c r="E61" s="1694"/>
      <c r="F61" s="1694"/>
      <c r="G61" s="1695"/>
      <c r="H61" s="1695"/>
      <c r="I61" s="1696"/>
      <c r="J61" s="1696"/>
      <c r="K61" s="1696"/>
      <c r="L61" s="1993" t="s">
        <v>1175</v>
      </c>
      <c r="M61" s="1986"/>
      <c r="N61" s="1990"/>
      <c r="O61" s="1991"/>
      <c r="P61" s="2028"/>
      <c r="Q61" s="1986"/>
      <c r="R61" s="1990"/>
      <c r="S61" s="1991"/>
      <c r="T61" s="2028">
        <f>S61*Q61</f>
        <v>0</v>
      </c>
      <c r="U61" s="2097"/>
      <c r="V61" s="761"/>
    </row>
    <row r="62" spans="2:22" x14ac:dyDescent="0.25">
      <c r="B62" s="1692"/>
      <c r="C62" s="1693"/>
      <c r="D62" s="1693"/>
      <c r="E62" s="1694"/>
      <c r="F62" s="1694"/>
      <c r="G62" s="1695"/>
      <c r="H62" s="1695"/>
      <c r="I62" s="1696"/>
      <c r="J62" s="1696"/>
      <c r="K62" s="1696"/>
      <c r="L62" s="2307" t="s">
        <v>1176</v>
      </c>
      <c r="M62" s="1986"/>
      <c r="N62" s="2308"/>
      <c r="O62" s="1928"/>
      <c r="P62" s="2309"/>
      <c r="Q62" s="1986"/>
      <c r="R62" s="2308"/>
      <c r="S62" s="1928"/>
      <c r="T62" s="2309">
        <f>S62*Q62</f>
        <v>0</v>
      </c>
      <c r="U62" s="2097"/>
      <c r="V62" s="761"/>
    </row>
    <row r="63" spans="2:22" x14ac:dyDescent="0.25">
      <c r="B63" s="1692"/>
      <c r="C63" s="1693"/>
      <c r="D63" s="1693"/>
      <c r="E63" s="1694"/>
      <c r="F63" s="1694"/>
      <c r="G63" s="1695"/>
      <c r="H63" s="1695"/>
      <c r="I63" s="1696"/>
      <c r="J63" s="1696"/>
      <c r="K63" s="1696"/>
      <c r="L63" s="1993" t="s">
        <v>1177</v>
      </c>
      <c r="M63" s="1986"/>
      <c r="N63" s="1990"/>
      <c r="O63" s="1994"/>
      <c r="P63" s="2028"/>
      <c r="Q63" s="1986"/>
      <c r="R63" s="1990"/>
      <c r="S63" s="1994"/>
      <c r="T63" s="2028">
        <f>S63*Q63</f>
        <v>0</v>
      </c>
      <c r="U63" s="2097"/>
      <c r="V63" s="761"/>
    </row>
    <row r="64" spans="2:22" x14ac:dyDescent="0.25">
      <c r="B64" s="1692"/>
      <c r="C64" s="1693"/>
      <c r="D64" s="1693"/>
      <c r="E64" s="1694"/>
      <c r="F64" s="1694"/>
      <c r="G64" s="1695"/>
      <c r="H64" s="1695"/>
      <c r="I64" s="1696"/>
      <c r="J64" s="1696"/>
      <c r="K64" s="1696"/>
      <c r="L64" s="1984"/>
      <c r="M64" s="2303"/>
      <c r="N64" s="1687"/>
      <c r="O64" s="1983"/>
      <c r="P64" s="1983"/>
      <c r="Q64" s="2303"/>
      <c r="R64" s="1687"/>
      <c r="S64" s="1983"/>
      <c r="T64" s="1983"/>
      <c r="U64" s="2097"/>
      <c r="V64" s="761"/>
    </row>
    <row r="65" spans="2:22" x14ac:dyDescent="0.25">
      <c r="B65" s="1692"/>
      <c r="C65" s="1693"/>
      <c r="D65" s="1693"/>
      <c r="E65" s="1694"/>
      <c r="F65" s="1694"/>
      <c r="G65" s="1695"/>
      <c r="H65" s="1695"/>
      <c r="I65" s="1696"/>
      <c r="J65" s="1696"/>
      <c r="K65" s="1696"/>
      <c r="L65" s="1984"/>
      <c r="M65" s="2303"/>
      <c r="N65" s="1687"/>
      <c r="O65" s="1983"/>
      <c r="P65" s="1983"/>
      <c r="Q65" s="2303"/>
      <c r="R65" s="1687"/>
      <c r="S65" s="1983"/>
      <c r="T65" s="1983"/>
      <c r="U65" s="2097"/>
      <c r="V65" s="761"/>
    </row>
    <row r="66" spans="2:22" x14ac:dyDescent="0.25">
      <c r="B66" s="654">
        <v>1</v>
      </c>
      <c r="C66" s="564" t="s">
        <v>239</v>
      </c>
      <c r="D66" s="564" t="s">
        <v>84</v>
      </c>
      <c r="E66" s="826">
        <v>16</v>
      </c>
      <c r="F66" s="2279" t="s">
        <v>84</v>
      </c>
      <c r="G66" s="623">
        <v>5</v>
      </c>
      <c r="H66" s="623">
        <v>2</v>
      </c>
      <c r="I66" s="621">
        <v>1</v>
      </c>
      <c r="J66" s="2310" t="s">
        <v>87</v>
      </c>
      <c r="K66" s="621"/>
      <c r="L66" s="2311" t="s">
        <v>107</v>
      </c>
      <c r="M66" s="2303"/>
      <c r="N66" s="1687"/>
      <c r="O66" s="1983"/>
      <c r="P66" s="1983"/>
      <c r="Q66" s="2303"/>
      <c r="R66" s="1687"/>
      <c r="S66" s="1983"/>
      <c r="T66" s="1983">
        <f>T67</f>
        <v>0</v>
      </c>
      <c r="U66" s="428">
        <f t="shared" ref="U66:U67" si="4">SUM(T66)-P66</f>
        <v>0</v>
      </c>
      <c r="V66" s="761"/>
    </row>
    <row r="67" spans="2:22" x14ac:dyDescent="0.25">
      <c r="B67" s="654">
        <v>1</v>
      </c>
      <c r="C67" s="564" t="s">
        <v>239</v>
      </c>
      <c r="D67" s="564" t="s">
        <v>84</v>
      </c>
      <c r="E67" s="826">
        <v>16</v>
      </c>
      <c r="F67" s="2279" t="s">
        <v>84</v>
      </c>
      <c r="G67" s="623">
        <v>5</v>
      </c>
      <c r="H67" s="623">
        <v>2</v>
      </c>
      <c r="I67" s="621">
        <v>1</v>
      </c>
      <c r="J67" s="2310" t="s">
        <v>87</v>
      </c>
      <c r="K67" s="2310" t="s">
        <v>97</v>
      </c>
      <c r="L67" s="1999" t="s">
        <v>175</v>
      </c>
      <c r="M67" s="2303"/>
      <c r="N67" s="1687"/>
      <c r="O67" s="1983"/>
      <c r="P67" s="1983"/>
      <c r="Q67" s="2303"/>
      <c r="R67" s="1687"/>
      <c r="S67" s="1983"/>
      <c r="T67" s="1983">
        <f>T68</f>
        <v>0</v>
      </c>
      <c r="U67" s="428">
        <f t="shared" si="4"/>
        <v>0</v>
      </c>
      <c r="V67" s="761"/>
    </row>
    <row r="68" spans="2:22" x14ac:dyDescent="0.25">
      <c r="B68" s="620"/>
      <c r="C68" s="2310"/>
      <c r="D68" s="2310"/>
      <c r="E68" s="2312"/>
      <c r="F68" s="2310"/>
      <c r="G68" s="621"/>
      <c r="H68" s="621"/>
      <c r="I68" s="2313"/>
      <c r="J68" s="2314"/>
      <c r="K68" s="2310"/>
      <c r="L68" s="2208" t="s">
        <v>186</v>
      </c>
      <c r="M68" s="2303"/>
      <c r="N68" s="1687"/>
      <c r="O68" s="1983"/>
      <c r="P68" s="1983"/>
      <c r="Q68" s="847"/>
      <c r="R68" s="1326"/>
      <c r="S68" s="505"/>
      <c r="T68" s="505">
        <f>S68*Q68</f>
        <v>0</v>
      </c>
      <c r="U68" s="428">
        <f>SUM(T68)-P68</f>
        <v>0</v>
      </c>
      <c r="V68" s="761"/>
    </row>
    <row r="69" spans="2:22" x14ac:dyDescent="0.25">
      <c r="B69" s="620"/>
      <c r="C69" s="2310"/>
      <c r="D69" s="2310"/>
      <c r="E69" s="2312"/>
      <c r="F69" s="2310"/>
      <c r="G69" s="621"/>
      <c r="H69" s="621"/>
      <c r="I69" s="2313"/>
      <c r="J69" s="2314"/>
      <c r="K69" s="2310"/>
      <c r="L69" s="2003"/>
      <c r="M69" s="2315"/>
      <c r="N69" s="1917"/>
      <c r="O69" s="505"/>
      <c r="P69" s="505"/>
      <c r="Q69" s="2315"/>
      <c r="R69" s="1917"/>
      <c r="S69" s="505"/>
      <c r="T69" s="505"/>
      <c r="U69" s="428">
        <f>SUM(T69)-P69</f>
        <v>0</v>
      </c>
      <c r="V69" s="643"/>
    </row>
    <row r="70" spans="2:22" ht="14.25" customHeight="1" x14ac:dyDescent="0.25">
      <c r="B70" s="654">
        <v>1</v>
      </c>
      <c r="C70" s="564" t="s">
        <v>239</v>
      </c>
      <c r="D70" s="564" t="s">
        <v>84</v>
      </c>
      <c r="E70" s="826">
        <v>16</v>
      </c>
      <c r="F70" s="2279" t="s">
        <v>84</v>
      </c>
      <c r="G70" s="623">
        <v>5</v>
      </c>
      <c r="H70" s="623">
        <v>2</v>
      </c>
      <c r="I70" s="621">
        <v>2</v>
      </c>
      <c r="J70" s="621"/>
      <c r="K70" s="621"/>
      <c r="L70" s="2316" t="s">
        <v>64</v>
      </c>
      <c r="M70" s="2317"/>
      <c r="N70" s="1917"/>
      <c r="O70" s="1917"/>
      <c r="P70" s="2318">
        <f>P71+P81+P95+P104</f>
        <v>132747300</v>
      </c>
      <c r="Q70" s="2317"/>
      <c r="R70" s="1917"/>
      <c r="S70" s="1917"/>
      <c r="T70" s="2318">
        <f>T71+T81+T95+T104</f>
        <v>0</v>
      </c>
      <c r="U70" s="2097"/>
      <c r="V70" s="761"/>
    </row>
    <row r="71" spans="2:22" x14ac:dyDescent="0.25">
      <c r="B71" s="654">
        <v>1</v>
      </c>
      <c r="C71" s="564" t="s">
        <v>239</v>
      </c>
      <c r="D71" s="564" t="s">
        <v>84</v>
      </c>
      <c r="E71" s="826">
        <v>16</v>
      </c>
      <c r="F71" s="2279" t="s">
        <v>84</v>
      </c>
      <c r="G71" s="623">
        <v>5</v>
      </c>
      <c r="H71" s="623">
        <v>2</v>
      </c>
      <c r="I71" s="623">
        <v>2</v>
      </c>
      <c r="J71" s="2310" t="s">
        <v>84</v>
      </c>
      <c r="K71" s="621"/>
      <c r="L71" s="2311" t="s">
        <v>55</v>
      </c>
      <c r="M71" s="2319"/>
      <c r="N71" s="1914"/>
      <c r="O71" s="1915"/>
      <c r="P71" s="2031">
        <f>P72</f>
        <v>491850</v>
      </c>
      <c r="Q71" s="2319"/>
      <c r="R71" s="1914"/>
      <c r="S71" s="1915"/>
      <c r="T71" s="2031">
        <f>T72</f>
        <v>0</v>
      </c>
      <c r="U71" s="2097"/>
      <c r="V71" s="761"/>
    </row>
    <row r="72" spans="2:22" ht="13.5" customHeight="1" x14ac:dyDescent="0.25">
      <c r="B72" s="654">
        <v>1</v>
      </c>
      <c r="C72" s="564" t="s">
        <v>239</v>
      </c>
      <c r="D72" s="564" t="s">
        <v>84</v>
      </c>
      <c r="E72" s="826">
        <v>16</v>
      </c>
      <c r="F72" s="2279" t="s">
        <v>84</v>
      </c>
      <c r="G72" s="623">
        <v>5</v>
      </c>
      <c r="H72" s="623">
        <v>2</v>
      </c>
      <c r="I72" s="623">
        <v>2</v>
      </c>
      <c r="J72" s="2310" t="s">
        <v>84</v>
      </c>
      <c r="K72" s="2310" t="s">
        <v>84</v>
      </c>
      <c r="L72" s="2007" t="s">
        <v>70</v>
      </c>
      <c r="M72" s="2319"/>
      <c r="N72" s="1917"/>
      <c r="O72" s="1918"/>
      <c r="P72" s="551">
        <f>SUM(P73:P79)</f>
        <v>491850</v>
      </c>
      <c r="Q72" s="2319"/>
      <c r="R72" s="1917"/>
      <c r="S72" s="1918"/>
      <c r="T72" s="551">
        <f>SUM(T73:T79)</f>
        <v>0</v>
      </c>
      <c r="U72" s="428">
        <f>SUM(T72)-P72</f>
        <v>-491850</v>
      </c>
      <c r="V72" s="761"/>
    </row>
    <row r="73" spans="2:22" ht="13.5" customHeight="1" x14ac:dyDescent="0.25">
      <c r="B73" s="620"/>
      <c r="C73" s="2310"/>
      <c r="D73" s="2310"/>
      <c r="E73" s="2312"/>
      <c r="F73" s="2312"/>
      <c r="G73" s="621"/>
      <c r="H73" s="621"/>
      <c r="I73" s="621"/>
      <c r="J73" s="2310"/>
      <c r="K73" s="2310"/>
      <c r="L73" s="2320" t="s">
        <v>1178</v>
      </c>
      <c r="M73" s="2321">
        <v>3</v>
      </c>
      <c r="N73" s="1326" t="s">
        <v>59</v>
      </c>
      <c r="O73" s="505">
        <v>46880</v>
      </c>
      <c r="P73" s="551">
        <f t="shared" ref="P73:P79" si="5">O73*M73</f>
        <v>140640</v>
      </c>
      <c r="Q73" s="2321"/>
      <c r="R73" s="1326"/>
      <c r="S73" s="505"/>
      <c r="T73" s="551">
        <f>S73*Q73</f>
        <v>0</v>
      </c>
      <c r="U73" s="428">
        <f>SUM(T73)-P73</f>
        <v>-140640</v>
      </c>
      <c r="V73" s="761"/>
    </row>
    <row r="74" spans="2:22" ht="13.5" customHeight="1" x14ac:dyDescent="0.25">
      <c r="B74" s="620"/>
      <c r="C74" s="2310"/>
      <c r="D74" s="2310"/>
      <c r="E74" s="2312"/>
      <c r="F74" s="2312"/>
      <c r="G74" s="621"/>
      <c r="H74" s="621"/>
      <c r="I74" s="621"/>
      <c r="J74" s="2310"/>
      <c r="K74" s="2310"/>
      <c r="L74" s="2320" t="s">
        <v>1179</v>
      </c>
      <c r="M74" s="2321">
        <v>1</v>
      </c>
      <c r="N74" s="1326" t="s">
        <v>71</v>
      </c>
      <c r="O74" s="505">
        <v>26030</v>
      </c>
      <c r="P74" s="551">
        <f t="shared" si="5"/>
        <v>26030</v>
      </c>
      <c r="Q74" s="2321"/>
      <c r="R74" s="1326"/>
      <c r="S74" s="505"/>
      <c r="T74" s="551">
        <f t="shared" ref="T74:T79" si="6">S74*Q74</f>
        <v>0</v>
      </c>
      <c r="U74" s="428">
        <f>SUM(T74)-P74</f>
        <v>-26030</v>
      </c>
      <c r="V74" s="761"/>
    </row>
    <row r="75" spans="2:22" ht="13.5" customHeight="1" x14ac:dyDescent="0.25">
      <c r="B75" s="620"/>
      <c r="C75" s="2310"/>
      <c r="D75" s="2310"/>
      <c r="E75" s="2312"/>
      <c r="F75" s="2312"/>
      <c r="G75" s="621"/>
      <c r="H75" s="621"/>
      <c r="I75" s="621"/>
      <c r="J75" s="2310"/>
      <c r="K75" s="2310"/>
      <c r="L75" s="2322" t="s">
        <v>1180</v>
      </c>
      <c r="M75" s="2321">
        <v>1</v>
      </c>
      <c r="N75" s="1326" t="s">
        <v>151</v>
      </c>
      <c r="O75" s="505">
        <v>104360</v>
      </c>
      <c r="P75" s="551">
        <f t="shared" si="5"/>
        <v>104360</v>
      </c>
      <c r="Q75" s="2321"/>
      <c r="R75" s="1326"/>
      <c r="S75" s="505"/>
      <c r="T75" s="551">
        <f t="shared" si="6"/>
        <v>0</v>
      </c>
      <c r="U75" s="428">
        <f>SUM(T75)-P75</f>
        <v>-104360</v>
      </c>
      <c r="V75" s="761"/>
    </row>
    <row r="76" spans="2:22" ht="13.5" customHeight="1" x14ac:dyDescent="0.25">
      <c r="B76" s="620"/>
      <c r="C76" s="2310"/>
      <c r="D76" s="2310"/>
      <c r="E76" s="2312"/>
      <c r="F76" s="2312"/>
      <c r="G76" s="621"/>
      <c r="H76" s="621"/>
      <c r="I76" s="621"/>
      <c r="J76" s="2310"/>
      <c r="K76" s="2310"/>
      <c r="L76" s="2322" t="s">
        <v>1181</v>
      </c>
      <c r="M76" s="2321">
        <v>1</v>
      </c>
      <c r="N76" s="1326" t="s">
        <v>151</v>
      </c>
      <c r="O76" s="505">
        <v>99420</v>
      </c>
      <c r="P76" s="551">
        <f t="shared" si="5"/>
        <v>99420</v>
      </c>
      <c r="Q76" s="2321"/>
      <c r="R76" s="1326"/>
      <c r="S76" s="505"/>
      <c r="T76" s="551">
        <f t="shared" si="6"/>
        <v>0</v>
      </c>
      <c r="U76" s="2097"/>
      <c r="V76" s="761"/>
    </row>
    <row r="77" spans="2:22" ht="13.5" customHeight="1" x14ac:dyDescent="0.25">
      <c r="B77" s="620"/>
      <c r="C77" s="2310"/>
      <c r="D77" s="2310"/>
      <c r="E77" s="2312"/>
      <c r="F77" s="2312"/>
      <c r="G77" s="621"/>
      <c r="H77" s="621"/>
      <c r="I77" s="621"/>
      <c r="J77" s="2310"/>
      <c r="K77" s="2310"/>
      <c r="L77" s="2323" t="s">
        <v>1182</v>
      </c>
      <c r="M77" s="2321">
        <v>1</v>
      </c>
      <c r="N77" s="1326" t="s">
        <v>621</v>
      </c>
      <c r="O77" s="505">
        <v>24540</v>
      </c>
      <c r="P77" s="551">
        <f t="shared" si="5"/>
        <v>24540</v>
      </c>
      <c r="Q77" s="2321"/>
      <c r="R77" s="1326"/>
      <c r="S77" s="505"/>
      <c r="T77" s="551">
        <f t="shared" si="6"/>
        <v>0</v>
      </c>
      <c r="U77" s="2097"/>
      <c r="V77" s="761"/>
    </row>
    <row r="78" spans="2:22" ht="13.5" customHeight="1" x14ac:dyDescent="0.25">
      <c r="B78" s="620"/>
      <c r="C78" s="2310"/>
      <c r="D78" s="2310"/>
      <c r="E78" s="2312"/>
      <c r="F78" s="2312"/>
      <c r="G78" s="621"/>
      <c r="H78" s="621"/>
      <c r="I78" s="621"/>
      <c r="J78" s="2310"/>
      <c r="K78" s="2310"/>
      <c r="L78" s="2324" t="s">
        <v>1183</v>
      </c>
      <c r="M78" s="2321">
        <v>1</v>
      </c>
      <c r="N78" s="1326" t="s">
        <v>71</v>
      </c>
      <c r="O78" s="505">
        <v>38400</v>
      </c>
      <c r="P78" s="551">
        <f t="shared" si="5"/>
        <v>38400</v>
      </c>
      <c r="Q78" s="2321"/>
      <c r="R78" s="1326"/>
      <c r="S78" s="505"/>
      <c r="T78" s="551">
        <f t="shared" si="6"/>
        <v>0</v>
      </c>
      <c r="U78" s="2097"/>
      <c r="V78" s="761"/>
    </row>
    <row r="79" spans="2:22" ht="13.5" customHeight="1" x14ac:dyDescent="0.25">
      <c r="B79" s="620"/>
      <c r="C79" s="2310"/>
      <c r="D79" s="2310"/>
      <c r="E79" s="2312"/>
      <c r="F79" s="2312"/>
      <c r="G79" s="621"/>
      <c r="H79" s="621"/>
      <c r="I79" s="621"/>
      <c r="J79" s="2310"/>
      <c r="K79" s="2310"/>
      <c r="L79" s="2007" t="s">
        <v>1184</v>
      </c>
      <c r="M79" s="2321">
        <v>2</v>
      </c>
      <c r="N79" s="1326" t="s">
        <v>621</v>
      </c>
      <c r="O79" s="505">
        <v>29230</v>
      </c>
      <c r="P79" s="551">
        <f t="shared" si="5"/>
        <v>58460</v>
      </c>
      <c r="Q79" s="2321"/>
      <c r="R79" s="1326"/>
      <c r="S79" s="505"/>
      <c r="T79" s="551">
        <f t="shared" si="6"/>
        <v>0</v>
      </c>
      <c r="U79" s="2097"/>
      <c r="V79" s="761"/>
    </row>
    <row r="80" spans="2:22" ht="13.5" customHeight="1" x14ac:dyDescent="0.25">
      <c r="B80" s="486"/>
      <c r="C80" s="487"/>
      <c r="D80" s="487"/>
      <c r="E80" s="1932"/>
      <c r="F80" s="487"/>
      <c r="G80" s="489"/>
      <c r="H80" s="489"/>
      <c r="I80" s="489"/>
      <c r="J80" s="489"/>
      <c r="K80" s="487"/>
      <c r="L80" s="501"/>
      <c r="M80" s="2325"/>
      <c r="N80" s="499"/>
      <c r="O80" s="477"/>
      <c r="P80" s="548"/>
      <c r="Q80" s="2325"/>
      <c r="R80" s="499"/>
      <c r="S80" s="477"/>
      <c r="T80" s="548"/>
      <c r="U80" s="428">
        <f>SUM(T80)-P80</f>
        <v>0</v>
      </c>
      <c r="V80" s="761"/>
    </row>
    <row r="81" spans="2:22" x14ac:dyDescent="0.25">
      <c r="B81" s="654">
        <v>1</v>
      </c>
      <c r="C81" s="564" t="s">
        <v>239</v>
      </c>
      <c r="D81" s="564" t="s">
        <v>84</v>
      </c>
      <c r="E81" s="826">
        <v>16</v>
      </c>
      <c r="F81" s="2279" t="s">
        <v>84</v>
      </c>
      <c r="G81" s="473">
        <v>5</v>
      </c>
      <c r="H81" s="473">
        <v>2</v>
      </c>
      <c r="I81" s="473">
        <v>2</v>
      </c>
      <c r="J81" s="487" t="s">
        <v>97</v>
      </c>
      <c r="K81" s="489"/>
      <c r="L81" s="2311" t="s">
        <v>57</v>
      </c>
      <c r="M81" s="2319"/>
      <c r="N81" s="1914"/>
      <c r="O81" s="1915"/>
      <c r="P81" s="2031">
        <f>P88+P82</f>
        <v>23392000</v>
      </c>
      <c r="Q81" s="2319"/>
      <c r="R81" s="1914"/>
      <c r="S81" s="1915"/>
      <c r="T81" s="2031">
        <f>T88+T82</f>
        <v>0</v>
      </c>
      <c r="U81" s="428">
        <f>SUM(T81)-P81</f>
        <v>-23392000</v>
      </c>
      <c r="V81" s="761"/>
    </row>
    <row r="82" spans="2:22" x14ac:dyDescent="0.25">
      <c r="B82" s="486">
        <v>1</v>
      </c>
      <c r="C82" s="487" t="s">
        <v>239</v>
      </c>
      <c r="D82" s="487" t="s">
        <v>84</v>
      </c>
      <c r="E82" s="826">
        <v>16</v>
      </c>
      <c r="F82" s="2326" t="s">
        <v>84</v>
      </c>
      <c r="G82" s="1052">
        <v>5</v>
      </c>
      <c r="H82" s="1052">
        <v>2</v>
      </c>
      <c r="I82" s="1052">
        <v>2</v>
      </c>
      <c r="J82" s="1142" t="s">
        <v>97</v>
      </c>
      <c r="K82" s="1052">
        <v>12</v>
      </c>
      <c r="L82" s="2327" t="s">
        <v>141</v>
      </c>
      <c r="M82" s="2210"/>
      <c r="N82" s="1057"/>
      <c r="O82" s="2226"/>
      <c r="P82" s="2268">
        <f>SUM(P83:P86)</f>
        <v>1792000</v>
      </c>
      <c r="Q82" s="2210"/>
      <c r="R82" s="1057"/>
      <c r="S82" s="2226"/>
      <c r="T82" s="2268">
        <f>SUM(T83:T86)</f>
        <v>0</v>
      </c>
      <c r="U82" s="428"/>
      <c r="V82" s="761"/>
    </row>
    <row r="83" spans="2:22" x14ac:dyDescent="0.25">
      <c r="B83" s="47"/>
      <c r="C83" s="6"/>
      <c r="D83" s="6"/>
      <c r="E83" s="2328"/>
      <c r="F83" s="2329"/>
      <c r="G83" s="1052"/>
      <c r="H83" s="1052"/>
      <c r="I83" s="1052"/>
      <c r="J83" s="1142"/>
      <c r="K83" s="1052"/>
      <c r="L83" s="1999" t="s">
        <v>1185</v>
      </c>
      <c r="M83" s="2330"/>
      <c r="N83" s="2235"/>
      <c r="O83" s="2236"/>
      <c r="P83" s="2268"/>
      <c r="Q83" s="2330"/>
      <c r="R83" s="2235"/>
      <c r="S83" s="2236"/>
      <c r="T83" s="2268"/>
      <c r="U83" s="428"/>
      <c r="V83" s="761"/>
    </row>
    <row r="84" spans="2:22" x14ac:dyDescent="0.25">
      <c r="B84" s="47"/>
      <c r="C84" s="6"/>
      <c r="D84" s="6"/>
      <c r="E84" s="2328"/>
      <c r="F84" s="2329"/>
      <c r="G84" s="1052"/>
      <c r="H84" s="1052"/>
      <c r="I84" s="1052"/>
      <c r="J84" s="1142"/>
      <c r="K84" s="1052"/>
      <c r="L84" s="1999" t="s">
        <v>1186</v>
      </c>
      <c r="M84" s="2330">
        <f>4*7</f>
        <v>28</v>
      </c>
      <c r="N84" s="2235" t="s">
        <v>1187</v>
      </c>
      <c r="O84" s="2236">
        <v>44800</v>
      </c>
      <c r="P84" s="2268">
        <f>O84*M84</f>
        <v>1254400</v>
      </c>
      <c r="Q84" s="2330"/>
      <c r="R84" s="2235"/>
      <c r="S84" s="2236"/>
      <c r="T84" s="2268">
        <f>S84*Q84</f>
        <v>0</v>
      </c>
      <c r="U84" s="428"/>
      <c r="V84" s="761"/>
    </row>
    <row r="85" spans="2:22" x14ac:dyDescent="0.25">
      <c r="B85" s="47"/>
      <c r="C85" s="6"/>
      <c r="D85" s="6"/>
      <c r="E85" s="2328"/>
      <c r="F85" s="2329"/>
      <c r="G85" s="1052"/>
      <c r="H85" s="1052"/>
      <c r="I85" s="1052"/>
      <c r="J85" s="1142"/>
      <c r="K85" s="1052"/>
      <c r="L85" s="2331" t="s">
        <v>1188</v>
      </c>
      <c r="M85" s="2330"/>
      <c r="N85" s="2235"/>
      <c r="O85" s="2236"/>
      <c r="P85" s="2268"/>
      <c r="Q85" s="2330"/>
      <c r="R85" s="2235"/>
      <c r="S85" s="2236"/>
      <c r="T85" s="2268"/>
      <c r="U85" s="428"/>
      <c r="V85" s="761"/>
    </row>
    <row r="86" spans="2:22" x14ac:dyDescent="0.25">
      <c r="B86" s="47"/>
      <c r="C86" s="6"/>
      <c r="D86" s="6"/>
      <c r="E86" s="2328"/>
      <c r="F86" s="2329"/>
      <c r="G86" s="1052"/>
      <c r="H86" s="1052"/>
      <c r="I86" s="1052"/>
      <c r="J86" s="1142"/>
      <c r="K86" s="1052"/>
      <c r="L86" s="1999" t="s">
        <v>1189</v>
      </c>
      <c r="M86" s="2330">
        <f>4*7</f>
        <v>28</v>
      </c>
      <c r="N86" s="2235" t="s">
        <v>1187</v>
      </c>
      <c r="O86" s="2236">
        <v>19200</v>
      </c>
      <c r="P86" s="2268">
        <f>O86*M86</f>
        <v>537600</v>
      </c>
      <c r="Q86" s="2330"/>
      <c r="R86" s="2235"/>
      <c r="S86" s="2236"/>
      <c r="T86" s="2268">
        <f>S86*Q86</f>
        <v>0</v>
      </c>
      <c r="U86" s="428"/>
      <c r="V86" s="761"/>
    </row>
    <row r="87" spans="2:22" x14ac:dyDescent="0.25">
      <c r="B87" s="654"/>
      <c r="C87" s="564"/>
      <c r="D87" s="564"/>
      <c r="E87" s="2276"/>
      <c r="F87" s="2279"/>
      <c r="G87" s="473"/>
      <c r="H87" s="473"/>
      <c r="I87" s="473"/>
      <c r="J87" s="487"/>
      <c r="K87" s="489"/>
      <c r="L87" s="2332"/>
      <c r="M87" s="2319"/>
      <c r="N87" s="1914"/>
      <c r="O87" s="1915"/>
      <c r="P87" s="2031"/>
      <c r="Q87" s="2319"/>
      <c r="R87" s="1914"/>
      <c r="S87" s="1915"/>
      <c r="T87" s="2031"/>
      <c r="U87" s="428"/>
      <c r="V87" s="761"/>
    </row>
    <row r="88" spans="2:22" ht="13.5" customHeight="1" x14ac:dyDescent="0.25">
      <c r="B88" s="654">
        <v>1</v>
      </c>
      <c r="C88" s="564" t="s">
        <v>239</v>
      </c>
      <c r="D88" s="564" t="s">
        <v>84</v>
      </c>
      <c r="E88" s="826">
        <v>16</v>
      </c>
      <c r="F88" s="2279" t="s">
        <v>84</v>
      </c>
      <c r="G88" s="473">
        <v>5</v>
      </c>
      <c r="H88" s="473">
        <v>2</v>
      </c>
      <c r="I88" s="473">
        <v>2</v>
      </c>
      <c r="J88" s="487" t="s">
        <v>97</v>
      </c>
      <c r="K88" s="487">
        <v>27</v>
      </c>
      <c r="L88" s="2008" t="s">
        <v>229</v>
      </c>
      <c r="M88" s="2325"/>
      <c r="N88" s="500"/>
      <c r="O88" s="559"/>
      <c r="P88" s="548">
        <f>SUM(P89:P91)</f>
        <v>21600000</v>
      </c>
      <c r="Q88" s="2325"/>
      <c r="R88" s="500"/>
      <c r="S88" s="559"/>
      <c r="T88" s="548">
        <f>SUM(T89:T93)</f>
        <v>0</v>
      </c>
      <c r="U88" s="428">
        <f>SUM(T88)-P88</f>
        <v>-21600000</v>
      </c>
      <c r="V88" s="761"/>
    </row>
    <row r="89" spans="2:22" ht="13.5" customHeight="1" x14ac:dyDescent="0.25">
      <c r="B89" s="654"/>
      <c r="C89" s="564"/>
      <c r="D89" s="564"/>
      <c r="E89" s="2277"/>
      <c r="F89" s="2280"/>
      <c r="G89" s="489"/>
      <c r="H89" s="489"/>
      <c r="I89" s="489"/>
      <c r="J89" s="487"/>
      <c r="K89" s="487"/>
      <c r="L89" s="2333" t="s">
        <v>1190</v>
      </c>
      <c r="M89" s="2334">
        <v>8</v>
      </c>
      <c r="N89" s="1326" t="s">
        <v>52</v>
      </c>
      <c r="O89" s="505">
        <v>800000</v>
      </c>
      <c r="P89" s="551">
        <f>O89*M89</f>
        <v>6400000</v>
      </c>
      <c r="Q89" s="2334"/>
      <c r="R89" s="1326"/>
      <c r="S89" s="505"/>
      <c r="T89" s="551">
        <f>S89*Q89</f>
        <v>0</v>
      </c>
      <c r="U89" s="428"/>
      <c r="V89" s="761"/>
    </row>
    <row r="90" spans="2:22" ht="13.5" customHeight="1" x14ac:dyDescent="0.25">
      <c r="B90" s="654"/>
      <c r="C90" s="564"/>
      <c r="D90" s="564"/>
      <c r="E90" s="2277"/>
      <c r="F90" s="2280"/>
      <c r="G90" s="489"/>
      <c r="H90" s="489"/>
      <c r="I90" s="489"/>
      <c r="J90" s="487"/>
      <c r="K90" s="487"/>
      <c r="L90" s="2333" t="s">
        <v>1191</v>
      </c>
      <c r="M90" s="2325">
        <v>8</v>
      </c>
      <c r="N90" s="1326" t="s">
        <v>52</v>
      </c>
      <c r="O90" s="559">
        <v>700000</v>
      </c>
      <c r="P90" s="551">
        <f t="shared" ref="P90:P91" si="7">O90*M90</f>
        <v>5600000</v>
      </c>
      <c r="Q90" s="2325"/>
      <c r="R90" s="1326"/>
      <c r="S90" s="559"/>
      <c r="T90" s="551">
        <f t="shared" ref="T90:T91" si="8">S90*Q90</f>
        <v>0</v>
      </c>
      <c r="U90" s="428"/>
      <c r="V90" s="761"/>
    </row>
    <row r="91" spans="2:22" ht="13.5" customHeight="1" x14ac:dyDescent="0.25">
      <c r="B91" s="654"/>
      <c r="C91" s="564"/>
      <c r="D91" s="564"/>
      <c r="E91" s="2277"/>
      <c r="F91" s="2280"/>
      <c r="G91" s="489"/>
      <c r="H91" s="489"/>
      <c r="I91" s="489"/>
      <c r="J91" s="487"/>
      <c r="K91" s="487"/>
      <c r="L91" s="2333" t="s">
        <v>1192</v>
      </c>
      <c r="M91" s="2325">
        <f>2*8</f>
        <v>16</v>
      </c>
      <c r="N91" s="1326" t="s">
        <v>52</v>
      </c>
      <c r="O91" s="559">
        <v>600000</v>
      </c>
      <c r="P91" s="551">
        <f t="shared" si="7"/>
        <v>9600000</v>
      </c>
      <c r="Q91" s="2325"/>
      <c r="R91" s="1326"/>
      <c r="S91" s="559"/>
      <c r="T91" s="551">
        <f t="shared" si="8"/>
        <v>0</v>
      </c>
      <c r="U91" s="428"/>
      <c r="V91" s="761"/>
    </row>
    <row r="92" spans="2:22" ht="13.5" customHeight="1" x14ac:dyDescent="0.25">
      <c r="B92" s="654"/>
      <c r="C92" s="564"/>
      <c r="D92" s="564"/>
      <c r="E92" s="2277"/>
      <c r="F92" s="2280"/>
      <c r="G92" s="489"/>
      <c r="H92" s="489"/>
      <c r="I92" s="489"/>
      <c r="J92" s="487"/>
      <c r="K92" s="487"/>
      <c r="L92" s="2333"/>
      <c r="M92" s="2325"/>
      <c r="N92" s="1326"/>
      <c r="O92" s="559"/>
      <c r="P92" s="551"/>
      <c r="Q92" s="2325"/>
      <c r="R92" s="1326"/>
      <c r="S92" s="559"/>
      <c r="T92" s="551"/>
      <c r="U92" s="428"/>
      <c r="V92" s="761"/>
    </row>
    <row r="93" spans="2:22" ht="13.5" customHeight="1" x14ac:dyDescent="0.25">
      <c r="B93" s="654"/>
      <c r="C93" s="564"/>
      <c r="D93" s="564"/>
      <c r="E93" s="2277"/>
      <c r="F93" s="2280"/>
      <c r="G93" s="489"/>
      <c r="H93" s="489"/>
      <c r="I93" s="489"/>
      <c r="J93" s="487"/>
      <c r="K93" s="487"/>
      <c r="L93" s="2000" t="s">
        <v>1193</v>
      </c>
      <c r="M93" s="847"/>
      <c r="N93" s="863"/>
      <c r="O93" s="880"/>
      <c r="P93" s="880"/>
      <c r="Q93" s="847"/>
      <c r="R93" s="863"/>
      <c r="S93" s="880"/>
      <c r="T93" s="880">
        <f>S93*Q93</f>
        <v>0</v>
      </c>
      <c r="U93" s="428">
        <f t="shared" ref="U93" si="9">T93-P93</f>
        <v>0</v>
      </c>
      <c r="V93" s="761"/>
    </row>
    <row r="94" spans="2:22" x14ac:dyDescent="0.25">
      <c r="B94" s="486"/>
      <c r="C94" s="487"/>
      <c r="D94" s="487"/>
      <c r="E94" s="1932"/>
      <c r="F94" s="487"/>
      <c r="G94" s="489"/>
      <c r="H94" s="489"/>
      <c r="I94" s="489"/>
      <c r="J94" s="489"/>
      <c r="K94" s="487"/>
      <c r="L94" s="507"/>
      <c r="M94" s="2325"/>
      <c r="N94" s="500"/>
      <c r="O94" s="559"/>
      <c r="P94" s="548"/>
      <c r="Q94" s="2325"/>
      <c r="R94" s="500"/>
      <c r="S94" s="559"/>
      <c r="T94" s="548"/>
      <c r="U94" s="2097"/>
      <c r="V94" s="761"/>
    </row>
    <row r="95" spans="2:22" ht="13.5" customHeight="1" x14ac:dyDescent="0.25">
      <c r="B95" s="654">
        <v>1</v>
      </c>
      <c r="C95" s="564" t="s">
        <v>239</v>
      </c>
      <c r="D95" s="564" t="s">
        <v>84</v>
      </c>
      <c r="E95" s="826">
        <v>16</v>
      </c>
      <c r="F95" s="2279" t="s">
        <v>84</v>
      </c>
      <c r="G95" s="473">
        <v>5</v>
      </c>
      <c r="H95" s="473">
        <v>2</v>
      </c>
      <c r="I95" s="473">
        <v>2</v>
      </c>
      <c r="J95" s="487" t="s">
        <v>86</v>
      </c>
      <c r="K95" s="489"/>
      <c r="L95" s="2311" t="s">
        <v>60</v>
      </c>
      <c r="M95" s="2319"/>
      <c r="N95" s="1914"/>
      <c r="O95" s="1915"/>
      <c r="P95" s="2031">
        <f>SUM(P96+P100)</f>
        <v>106433450</v>
      </c>
      <c r="Q95" s="2319"/>
      <c r="R95" s="1914"/>
      <c r="S95" s="1915"/>
      <c r="T95" s="2031">
        <f>SUM(T96+T100)</f>
        <v>0</v>
      </c>
      <c r="U95" s="2097"/>
      <c r="V95" s="761"/>
    </row>
    <row r="96" spans="2:22" ht="13.5" customHeight="1" x14ac:dyDescent="0.25">
      <c r="B96" s="654">
        <v>1</v>
      </c>
      <c r="C96" s="564" t="s">
        <v>239</v>
      </c>
      <c r="D96" s="564" t="s">
        <v>84</v>
      </c>
      <c r="E96" s="826">
        <v>16</v>
      </c>
      <c r="F96" s="2279" t="s">
        <v>84</v>
      </c>
      <c r="G96" s="473">
        <v>5</v>
      </c>
      <c r="H96" s="473">
        <v>2</v>
      </c>
      <c r="I96" s="473">
        <v>2</v>
      </c>
      <c r="J96" s="487" t="s">
        <v>86</v>
      </c>
      <c r="K96" s="487" t="s">
        <v>84</v>
      </c>
      <c r="L96" s="2007" t="s">
        <v>453</v>
      </c>
      <c r="M96" s="2319"/>
      <c r="N96" s="1917"/>
      <c r="O96" s="1918"/>
      <c r="P96" s="551">
        <f>P97+P98</f>
        <v>105780000</v>
      </c>
      <c r="Q96" s="2319"/>
      <c r="R96" s="1917"/>
      <c r="S96" s="1918"/>
      <c r="T96" s="551">
        <f>T97+T98</f>
        <v>0</v>
      </c>
      <c r="U96" s="2097"/>
      <c r="V96" s="761"/>
    </row>
    <row r="97" spans="2:22" ht="25" x14ac:dyDescent="0.25">
      <c r="B97" s="510"/>
      <c r="C97" s="513"/>
      <c r="D97" s="513"/>
      <c r="E97" s="513"/>
      <c r="F97" s="513"/>
      <c r="G97" s="513"/>
      <c r="H97" s="473"/>
      <c r="I97" s="1674"/>
      <c r="J97" s="2335"/>
      <c r="K97" s="506"/>
      <c r="L97" s="2010" t="s">
        <v>1194</v>
      </c>
      <c r="M97" s="2319">
        <f>4395*8</f>
        <v>35160</v>
      </c>
      <c r="N97" s="1326" t="s">
        <v>71</v>
      </c>
      <c r="O97" s="2011">
        <v>3000</v>
      </c>
      <c r="P97" s="548">
        <f>O97*M97</f>
        <v>105480000</v>
      </c>
      <c r="Q97" s="2319"/>
      <c r="R97" s="1326"/>
      <c r="S97" s="2011"/>
      <c r="T97" s="548">
        <f>S97*Q97</f>
        <v>0</v>
      </c>
      <c r="U97" s="2097"/>
      <c r="V97" s="761"/>
    </row>
    <row r="98" spans="2:22" x14ac:dyDescent="0.25">
      <c r="B98" s="510"/>
      <c r="C98" s="513"/>
      <c r="D98" s="513"/>
      <c r="E98" s="513"/>
      <c r="F98" s="513"/>
      <c r="G98" s="513"/>
      <c r="H98" s="473"/>
      <c r="I98" s="1674"/>
      <c r="J98" s="2335"/>
      <c r="K98" s="506"/>
      <c r="L98" s="2010" t="s">
        <v>1195</v>
      </c>
      <c r="M98" s="2319">
        <v>5</v>
      </c>
      <c r="N98" s="1326" t="s">
        <v>199</v>
      </c>
      <c r="O98" s="2011">
        <v>60000</v>
      </c>
      <c r="P98" s="548">
        <f>O98*M98</f>
        <v>300000</v>
      </c>
      <c r="Q98" s="2319"/>
      <c r="R98" s="1326"/>
      <c r="S98" s="2011"/>
      <c r="T98" s="548">
        <f>S98*Q98</f>
        <v>0</v>
      </c>
      <c r="U98" s="2097"/>
      <c r="V98" s="761"/>
    </row>
    <row r="99" spans="2:22" ht="13.5" customHeight="1" x14ac:dyDescent="0.25">
      <c r="B99" s="510"/>
      <c r="C99" s="513"/>
      <c r="D99" s="513"/>
      <c r="E99" s="513"/>
      <c r="F99" s="513"/>
      <c r="G99" s="513"/>
      <c r="H99" s="473"/>
      <c r="I99" s="1674"/>
      <c r="J99" s="2335"/>
      <c r="K99" s="506"/>
      <c r="L99" s="2010"/>
      <c r="M99" s="2319"/>
      <c r="N99" s="1326"/>
      <c r="O99" s="2011"/>
      <c r="P99" s="548"/>
      <c r="Q99" s="2319"/>
      <c r="R99" s="1326"/>
      <c r="S99" s="2011"/>
      <c r="T99" s="548"/>
      <c r="U99" s="2097"/>
      <c r="V99" s="761"/>
    </row>
    <row r="100" spans="2:22" ht="13.5" customHeight="1" x14ac:dyDescent="0.25">
      <c r="B100" s="654">
        <v>1</v>
      </c>
      <c r="C100" s="564" t="s">
        <v>239</v>
      </c>
      <c r="D100" s="564" t="s">
        <v>84</v>
      </c>
      <c r="E100" s="826">
        <v>16</v>
      </c>
      <c r="F100" s="2279" t="s">
        <v>84</v>
      </c>
      <c r="G100" s="473">
        <v>5</v>
      </c>
      <c r="H100" s="473">
        <v>2</v>
      </c>
      <c r="I100" s="473">
        <v>2</v>
      </c>
      <c r="J100" s="487" t="s">
        <v>86</v>
      </c>
      <c r="K100" s="487" t="s">
        <v>87</v>
      </c>
      <c r="L100" s="2007" t="s">
        <v>65</v>
      </c>
      <c r="M100" s="2319"/>
      <c r="N100" s="1917"/>
      <c r="O100" s="1918"/>
      <c r="P100" s="551">
        <f>SUM(P101:P101)</f>
        <v>653450</v>
      </c>
      <c r="Q100" s="2319"/>
      <c r="R100" s="1917"/>
      <c r="S100" s="1918"/>
      <c r="T100" s="551">
        <f>SUM(T101:T102)</f>
        <v>0</v>
      </c>
      <c r="U100" s="2097"/>
      <c r="V100" s="761"/>
    </row>
    <row r="101" spans="2:22" ht="13.5" customHeight="1" x14ac:dyDescent="0.25">
      <c r="B101" s="486"/>
      <c r="C101" s="487"/>
      <c r="D101" s="487"/>
      <c r="E101" s="1932"/>
      <c r="F101" s="487"/>
      <c r="G101" s="489"/>
      <c r="H101" s="489"/>
      <c r="I101" s="489"/>
      <c r="J101" s="489"/>
      <c r="K101" s="487"/>
      <c r="L101" s="501" t="s">
        <v>1196</v>
      </c>
      <c r="M101" s="2325">
        <v>1867</v>
      </c>
      <c r="N101" s="499" t="s">
        <v>58</v>
      </c>
      <c r="O101" s="477">
        <v>350</v>
      </c>
      <c r="P101" s="548">
        <f>O101*M101</f>
        <v>653450</v>
      </c>
      <c r="Q101" s="2325"/>
      <c r="R101" s="499"/>
      <c r="S101" s="477"/>
      <c r="T101" s="548">
        <f>S101*Q101</f>
        <v>0</v>
      </c>
      <c r="U101" s="2097"/>
      <c r="V101" s="761"/>
    </row>
    <row r="102" spans="2:22" ht="13.5" customHeight="1" x14ac:dyDescent="0.25">
      <c r="B102" s="486"/>
      <c r="C102" s="487"/>
      <c r="D102" s="487"/>
      <c r="E102" s="1932"/>
      <c r="F102" s="487"/>
      <c r="G102" s="489"/>
      <c r="H102" s="489"/>
      <c r="I102" s="489"/>
      <c r="J102" s="489"/>
      <c r="K102" s="487"/>
      <c r="L102" s="502" t="s">
        <v>652</v>
      </c>
      <c r="M102" s="859"/>
      <c r="N102" s="499"/>
      <c r="O102" s="477"/>
      <c r="P102" s="477"/>
      <c r="Q102" s="859"/>
      <c r="R102" s="499"/>
      <c r="S102" s="477"/>
      <c r="T102" s="477">
        <f>S102*Q102</f>
        <v>0</v>
      </c>
      <c r="U102" s="2097"/>
      <c r="V102" s="761"/>
    </row>
    <row r="103" spans="2:22" ht="13.5" customHeight="1" x14ac:dyDescent="0.25">
      <c r="B103" s="486"/>
      <c r="C103" s="487"/>
      <c r="D103" s="487"/>
      <c r="E103" s="1932"/>
      <c r="F103" s="487"/>
      <c r="G103" s="489"/>
      <c r="H103" s="489"/>
      <c r="I103" s="489"/>
      <c r="J103" s="489"/>
      <c r="K103" s="487"/>
      <c r="L103" s="507"/>
      <c r="M103" s="2325"/>
      <c r="N103" s="499"/>
      <c r="O103" s="477"/>
      <c r="P103" s="548"/>
      <c r="Q103" s="2325"/>
      <c r="R103" s="499"/>
      <c r="S103" s="477"/>
      <c r="T103" s="548"/>
      <c r="U103" s="2097"/>
      <c r="V103" s="761"/>
    </row>
    <row r="104" spans="2:22" ht="13.5" customHeight="1" x14ac:dyDescent="0.25">
      <c r="B104" s="654">
        <v>1</v>
      </c>
      <c r="C104" s="564" t="s">
        <v>239</v>
      </c>
      <c r="D104" s="564" t="s">
        <v>84</v>
      </c>
      <c r="E104" s="826">
        <v>16</v>
      </c>
      <c r="F104" s="2279" t="s">
        <v>84</v>
      </c>
      <c r="G104" s="473">
        <v>5</v>
      </c>
      <c r="H104" s="473">
        <v>2</v>
      </c>
      <c r="I104" s="473">
        <v>2</v>
      </c>
      <c r="J104" s="487">
        <v>11</v>
      </c>
      <c r="K104" s="489"/>
      <c r="L104" s="2311" t="s">
        <v>187</v>
      </c>
      <c r="M104" s="2319"/>
      <c r="N104" s="1914"/>
      <c r="O104" s="1915"/>
      <c r="P104" s="2031">
        <f>P105</f>
        <v>2430000</v>
      </c>
      <c r="Q104" s="2319"/>
      <c r="R104" s="1914"/>
      <c r="S104" s="1915"/>
      <c r="T104" s="2031">
        <f>T105+T109+T112</f>
        <v>0</v>
      </c>
      <c r="U104" s="2336">
        <f>T104-P104</f>
        <v>-2430000</v>
      </c>
      <c r="V104" s="761"/>
    </row>
    <row r="105" spans="2:22" ht="13.5" customHeight="1" x14ac:dyDescent="0.25">
      <c r="B105" s="654">
        <v>1</v>
      </c>
      <c r="C105" s="564" t="s">
        <v>239</v>
      </c>
      <c r="D105" s="564" t="s">
        <v>84</v>
      </c>
      <c r="E105" s="826">
        <v>16</v>
      </c>
      <c r="F105" s="2279" t="s">
        <v>84</v>
      </c>
      <c r="G105" s="473">
        <v>5</v>
      </c>
      <c r="H105" s="473">
        <v>2</v>
      </c>
      <c r="I105" s="473">
        <v>2</v>
      </c>
      <c r="J105" s="487">
        <v>11</v>
      </c>
      <c r="K105" s="487" t="s">
        <v>101</v>
      </c>
      <c r="L105" s="2007" t="s">
        <v>188</v>
      </c>
      <c r="M105" s="2319"/>
      <c r="N105" s="1917"/>
      <c r="O105" s="1918"/>
      <c r="P105" s="551">
        <f>SUM(P106:P107)</f>
        <v>2430000</v>
      </c>
      <c r="Q105" s="2319"/>
      <c r="R105" s="1917"/>
      <c r="S105" s="1918"/>
      <c r="T105" s="551">
        <f>SUM(T106:T107)</f>
        <v>0</v>
      </c>
      <c r="U105" s="2097"/>
      <c r="V105" s="761"/>
    </row>
    <row r="106" spans="2:22" ht="13.5" customHeight="1" x14ac:dyDescent="0.25">
      <c r="B106" s="486"/>
      <c r="C106" s="487"/>
      <c r="D106" s="487"/>
      <c r="E106" s="1932"/>
      <c r="F106" s="1932"/>
      <c r="G106" s="489"/>
      <c r="H106" s="489"/>
      <c r="I106" s="489"/>
      <c r="J106" s="487"/>
      <c r="K106" s="487"/>
      <c r="L106" s="501" t="s">
        <v>1197</v>
      </c>
      <c r="M106" s="2325">
        <f>4*27</f>
        <v>108</v>
      </c>
      <c r="N106" s="499" t="s">
        <v>151</v>
      </c>
      <c r="O106" s="477">
        <v>15000</v>
      </c>
      <c r="P106" s="548">
        <f>O106*M106</f>
        <v>1620000</v>
      </c>
      <c r="Q106" s="2325"/>
      <c r="R106" s="499"/>
      <c r="S106" s="477"/>
      <c r="T106" s="548">
        <f>S106*Q106</f>
        <v>0</v>
      </c>
      <c r="U106" s="2097"/>
      <c r="V106" s="761"/>
    </row>
    <row r="107" spans="2:22" ht="13.5" customHeight="1" x14ac:dyDescent="0.25">
      <c r="B107" s="1692"/>
      <c r="C107" s="1693"/>
      <c r="D107" s="1693"/>
      <c r="E107" s="2301"/>
      <c r="F107" s="1693"/>
      <c r="G107" s="1696"/>
      <c r="H107" s="1696"/>
      <c r="I107" s="1696"/>
      <c r="J107" s="1696"/>
      <c r="K107" s="1693"/>
      <c r="L107" s="501" t="s">
        <v>1198</v>
      </c>
      <c r="M107" s="2325">
        <f>4*27</f>
        <v>108</v>
      </c>
      <c r="N107" s="1982" t="s">
        <v>151</v>
      </c>
      <c r="O107" s="2014">
        <v>7500</v>
      </c>
      <c r="P107" s="1689">
        <f>O107*M107</f>
        <v>810000</v>
      </c>
      <c r="Q107" s="2325"/>
      <c r="R107" s="1982"/>
      <c r="S107" s="2014"/>
      <c r="T107" s="1689">
        <f>S107*Q107</f>
        <v>0</v>
      </c>
      <c r="U107" s="2097"/>
      <c r="V107" s="761"/>
    </row>
    <row r="108" spans="2:22" ht="13.5" customHeight="1" x14ac:dyDescent="0.25">
      <c r="B108" s="1692"/>
      <c r="C108" s="1693"/>
      <c r="D108" s="1693"/>
      <c r="E108" s="2301"/>
      <c r="F108" s="1693"/>
      <c r="G108" s="1696"/>
      <c r="H108" s="1696"/>
      <c r="I108" s="1696"/>
      <c r="J108" s="1696"/>
      <c r="K108" s="1693"/>
      <c r="L108" s="501"/>
      <c r="M108" s="2325"/>
      <c r="N108" s="1982"/>
      <c r="O108" s="2014"/>
      <c r="P108" s="1689"/>
      <c r="Q108" s="2325"/>
      <c r="R108" s="1982"/>
      <c r="S108" s="2014"/>
      <c r="T108" s="1689"/>
      <c r="U108" s="2097"/>
      <c r="V108" s="761"/>
    </row>
    <row r="109" spans="2:22" ht="13.5" customHeight="1" x14ac:dyDescent="0.25">
      <c r="B109" s="1692"/>
      <c r="C109" s="1693"/>
      <c r="D109" s="1693"/>
      <c r="E109" s="2301"/>
      <c r="F109" s="1693"/>
      <c r="G109" s="1696"/>
      <c r="H109" s="1696"/>
      <c r="I109" s="1696"/>
      <c r="J109" s="1696"/>
      <c r="K109" s="1693"/>
      <c r="L109" s="2007" t="s">
        <v>1199</v>
      </c>
      <c r="M109" s="2325"/>
      <c r="N109" s="1982"/>
      <c r="O109" s="2014"/>
      <c r="P109" s="1689"/>
      <c r="Q109" s="2325"/>
      <c r="R109" s="1982"/>
      <c r="S109" s="2014"/>
      <c r="T109" s="505">
        <f>SUM(T110:T111)</f>
        <v>0</v>
      </c>
      <c r="U109" s="505">
        <f>SUM(U110:U111)</f>
        <v>0</v>
      </c>
      <c r="V109" s="761"/>
    </row>
    <row r="110" spans="2:22" ht="13.5" customHeight="1" x14ac:dyDescent="0.25">
      <c r="B110" s="1692"/>
      <c r="C110" s="1693"/>
      <c r="D110" s="1693"/>
      <c r="E110" s="2301"/>
      <c r="F110" s="1693"/>
      <c r="G110" s="1696"/>
      <c r="H110" s="1696"/>
      <c r="I110" s="1696"/>
      <c r="J110" s="1696"/>
      <c r="K110" s="1693"/>
      <c r="L110" s="501" t="s">
        <v>1200</v>
      </c>
      <c r="M110" s="859"/>
      <c r="N110" s="499"/>
      <c r="O110" s="477"/>
      <c r="P110" s="477"/>
      <c r="Q110" s="859"/>
      <c r="R110" s="499"/>
      <c r="S110" s="477"/>
      <c r="T110" s="477">
        <f>S110*Q110</f>
        <v>0</v>
      </c>
      <c r="U110" s="428">
        <f>T110-P110</f>
        <v>0</v>
      </c>
      <c r="V110" s="439"/>
    </row>
    <row r="111" spans="2:22" ht="13.5" customHeight="1" x14ac:dyDescent="0.25">
      <c r="B111" s="1692"/>
      <c r="C111" s="1693"/>
      <c r="D111" s="1693"/>
      <c r="E111" s="2301"/>
      <c r="F111" s="1693"/>
      <c r="G111" s="1696"/>
      <c r="H111" s="1696"/>
      <c r="I111" s="1696"/>
      <c r="J111" s="1696"/>
      <c r="K111" s="1693"/>
      <c r="L111" s="2016" t="s">
        <v>1201</v>
      </c>
      <c r="M111" s="862"/>
      <c r="N111" s="1982"/>
      <c r="O111" s="2014"/>
      <c r="P111" s="2014"/>
      <c r="Q111" s="862"/>
      <c r="R111" s="1982"/>
      <c r="S111" s="2014"/>
      <c r="T111" s="2014">
        <f>S111*Q111</f>
        <v>0</v>
      </c>
      <c r="U111" s="428">
        <f t="shared" ref="U111:U114" si="10">T111-P111</f>
        <v>0</v>
      </c>
      <c r="V111" s="761"/>
    </row>
    <row r="112" spans="2:22" ht="13.5" customHeight="1" x14ac:dyDescent="0.25">
      <c r="B112" s="1692"/>
      <c r="C112" s="1693"/>
      <c r="D112" s="1693"/>
      <c r="E112" s="2301"/>
      <c r="F112" s="1693"/>
      <c r="G112" s="1696"/>
      <c r="H112" s="1696"/>
      <c r="I112" s="1696"/>
      <c r="J112" s="1696"/>
      <c r="K112" s="1693"/>
      <c r="L112" s="2337" t="s">
        <v>1202</v>
      </c>
      <c r="M112" s="850"/>
      <c r="N112" s="1326"/>
      <c r="O112" s="1917"/>
      <c r="P112" s="505"/>
      <c r="Q112" s="850"/>
      <c r="R112" s="1326"/>
      <c r="S112" s="1917"/>
      <c r="T112" s="505">
        <f>SUM(T113:T114)</f>
        <v>0</v>
      </c>
      <c r="U112" s="428">
        <f t="shared" si="10"/>
        <v>0</v>
      </c>
      <c r="V112" s="761"/>
    </row>
    <row r="113" spans="2:25" ht="13.5" customHeight="1" x14ac:dyDescent="0.25">
      <c r="B113" s="1692"/>
      <c r="C113" s="1693"/>
      <c r="D113" s="1693"/>
      <c r="E113" s="2301"/>
      <c r="F113" s="1693"/>
      <c r="G113" s="1696"/>
      <c r="H113" s="1696"/>
      <c r="I113" s="1696"/>
      <c r="J113" s="1696"/>
      <c r="K113" s="1693"/>
      <c r="L113" s="501" t="s">
        <v>1203</v>
      </c>
      <c r="M113" s="862"/>
      <c r="N113" s="499"/>
      <c r="O113" s="477"/>
      <c r="P113" s="477"/>
      <c r="Q113" s="862"/>
      <c r="R113" s="499"/>
      <c r="S113" s="477"/>
      <c r="T113" s="477">
        <f>S113*Q113</f>
        <v>0</v>
      </c>
      <c r="U113" s="428">
        <f t="shared" si="10"/>
        <v>0</v>
      </c>
      <c r="V113" s="761"/>
    </row>
    <row r="114" spans="2:25" ht="13.5" customHeight="1" x14ac:dyDescent="0.25">
      <c r="B114" s="1692"/>
      <c r="C114" s="1693"/>
      <c r="D114" s="1693"/>
      <c r="E114" s="2301"/>
      <c r="F114" s="1693"/>
      <c r="G114" s="1696"/>
      <c r="H114" s="1696"/>
      <c r="I114" s="1696"/>
      <c r="J114" s="1696"/>
      <c r="K114" s="1693"/>
      <c r="L114" s="2016" t="s">
        <v>1204</v>
      </c>
      <c r="M114" s="862"/>
      <c r="N114" s="1982"/>
      <c r="O114" s="2014"/>
      <c r="P114" s="2014"/>
      <c r="Q114" s="862"/>
      <c r="R114" s="1982"/>
      <c r="S114" s="2014"/>
      <c r="T114" s="2014">
        <f>S114*Q114</f>
        <v>0</v>
      </c>
      <c r="U114" s="428">
        <f t="shared" si="10"/>
        <v>0</v>
      </c>
      <c r="V114" s="761"/>
    </row>
    <row r="115" spans="2:25" x14ac:dyDescent="0.25">
      <c r="B115" s="47"/>
      <c r="C115" s="6"/>
      <c r="D115" s="6"/>
      <c r="E115" s="645"/>
      <c r="F115" s="645"/>
      <c r="G115" s="646"/>
      <c r="H115" s="646"/>
      <c r="I115" s="116"/>
      <c r="J115" s="6"/>
      <c r="K115" s="6"/>
      <c r="L115" s="1697"/>
      <c r="M115" s="648"/>
      <c r="N115" s="648"/>
      <c r="O115" s="1698"/>
      <c r="P115" s="598"/>
      <c r="Q115" s="650"/>
      <c r="R115" s="650"/>
      <c r="S115" s="1699"/>
      <c r="T115" s="539"/>
      <c r="U115" s="599"/>
      <c r="V115" s="600"/>
    </row>
    <row r="116" spans="2:25" ht="14.5" thickBot="1" x14ac:dyDescent="0.3">
      <c r="B116" s="2730" t="s">
        <v>15</v>
      </c>
      <c r="C116" s="2731"/>
      <c r="D116" s="2731"/>
      <c r="E116" s="2731"/>
      <c r="F116" s="2731"/>
      <c r="G116" s="2731"/>
      <c r="H116" s="2731"/>
      <c r="I116" s="2731"/>
      <c r="J116" s="2731"/>
      <c r="K116" s="2731"/>
      <c r="L116" s="2731"/>
      <c r="M116" s="2731"/>
      <c r="N116" s="2731"/>
      <c r="O116" s="2731"/>
      <c r="P116" s="436">
        <f>P28</f>
        <v>192447300</v>
      </c>
      <c r="Q116" s="2696"/>
      <c r="R116" s="2697"/>
      <c r="S116" s="2698"/>
      <c r="T116" s="1605">
        <f>T28</f>
        <v>0</v>
      </c>
      <c r="U116" s="438">
        <f>T116-P116</f>
        <v>-192447300</v>
      </c>
      <c r="V116" s="439">
        <f>U116/P116*100</f>
        <v>-100</v>
      </c>
      <c r="X116" s="464">
        <v>75000000</v>
      </c>
      <c r="Y116" s="341" t="s">
        <v>1205</v>
      </c>
    </row>
    <row r="117" spans="2:25" ht="13" thickTop="1" x14ac:dyDescent="0.25">
      <c r="B117" s="2890"/>
      <c r="C117" s="2891"/>
      <c r="D117" s="2891"/>
      <c r="E117" s="2891"/>
      <c r="F117" s="2891"/>
      <c r="G117" s="2891"/>
      <c r="H117" s="2891"/>
      <c r="I117" s="2891"/>
      <c r="J117" s="2891"/>
      <c r="K117" s="2891"/>
      <c r="L117" s="2891"/>
      <c r="M117" s="2891"/>
      <c r="N117" s="2891"/>
      <c r="O117" s="2891"/>
      <c r="P117" s="2891"/>
      <c r="Q117" s="2891"/>
      <c r="R117" s="2891"/>
      <c r="S117" s="2891"/>
      <c r="T117" s="2891"/>
      <c r="U117" s="2891"/>
      <c r="V117" s="2892"/>
      <c r="X117" s="464">
        <v>18087600</v>
      </c>
      <c r="Y117" s="341" t="s">
        <v>1206</v>
      </c>
    </row>
    <row r="118" spans="2:25" ht="12.75" customHeight="1" x14ac:dyDescent="0.25">
      <c r="B118" s="440"/>
      <c r="C118" s="20"/>
      <c r="D118" s="20"/>
      <c r="E118" s="20"/>
      <c r="F118" s="20"/>
      <c r="G118" s="20"/>
      <c r="H118" s="20"/>
      <c r="I118" s="20"/>
      <c r="J118" s="20"/>
      <c r="K118" s="20"/>
      <c r="L118" s="21"/>
      <c r="Q118" s="1596"/>
      <c r="S118" s="2351"/>
      <c r="T118" s="2351"/>
      <c r="U118" s="2351"/>
      <c r="V118" s="19"/>
      <c r="W118" s="100"/>
      <c r="X118" s="464">
        <v>31904340</v>
      </c>
      <c r="Y118" s="341" t="s">
        <v>1207</v>
      </c>
    </row>
    <row r="119" spans="2:25" ht="12.75" customHeight="1" x14ac:dyDescent="0.25">
      <c r="B119" s="440"/>
      <c r="C119" s="20"/>
      <c r="D119" s="20"/>
      <c r="E119" s="20"/>
      <c r="F119" s="20"/>
      <c r="G119" s="20"/>
      <c r="H119" s="20"/>
      <c r="I119" s="20"/>
      <c r="J119" s="20"/>
      <c r="K119" s="20"/>
      <c r="L119" s="21"/>
      <c r="Q119" s="1596"/>
      <c r="S119" s="2702" t="str">
        <f>'E-Gov Aplikasi'!S168:U168</f>
        <v>Banda Aceh,               2020</v>
      </c>
      <c r="T119" s="2702"/>
      <c r="U119" s="2702"/>
      <c r="V119" s="19"/>
      <c r="W119" s="100"/>
      <c r="X119" s="464"/>
    </row>
    <row r="120" spans="2:25" x14ac:dyDescent="0.25">
      <c r="B120" s="440"/>
      <c r="C120" s="20"/>
      <c r="D120" s="20"/>
      <c r="E120" s="20"/>
      <c r="F120" s="20"/>
      <c r="G120" s="20"/>
      <c r="H120" s="20"/>
      <c r="I120" s="20"/>
      <c r="J120" s="20"/>
      <c r="K120" s="20"/>
      <c r="L120" s="1585" t="str">
        <f>'E-Gov Aplikasi'!L169</f>
        <v>Mengesahkan,</v>
      </c>
      <c r="Q120" s="1596"/>
      <c r="S120" s="2703" t="str">
        <f>'E-Gov Aplikasi'!S169:U169</f>
        <v>Pengguna Anggaran</v>
      </c>
      <c r="T120" s="2703"/>
      <c r="U120" s="2703"/>
      <c r="V120" s="111"/>
      <c r="W120" s="22"/>
      <c r="X120" s="461">
        <f>SUM(X116:X118)</f>
        <v>124991940</v>
      </c>
      <c r="Y120" s="341" t="s">
        <v>1208</v>
      </c>
    </row>
    <row r="121" spans="2:25" ht="12.75" customHeight="1" x14ac:dyDescent="0.25">
      <c r="B121" s="440"/>
      <c r="C121" s="20"/>
      <c r="D121" s="20"/>
      <c r="E121" s="20"/>
      <c r="F121" s="20"/>
      <c r="G121" s="20"/>
      <c r="H121" s="20"/>
      <c r="I121" s="20"/>
      <c r="J121" s="20"/>
      <c r="K121" s="20"/>
      <c r="L121" s="1585" t="str">
        <f>'E-Gov Aplikasi'!L170</f>
        <v>Pejabat Pengelola Keuangan Daerah</v>
      </c>
      <c r="Q121" s="1596"/>
      <c r="S121" s="2703" t="str">
        <f>'E-Gov Aplikasi'!S170:U170</f>
        <v xml:space="preserve"> Satuan Kerja Perangkat Daerah </v>
      </c>
      <c r="T121" s="2703"/>
      <c r="U121" s="2703"/>
      <c r="V121" s="44"/>
      <c r="W121" s="22"/>
    </row>
    <row r="122" spans="2:25" x14ac:dyDescent="0.25">
      <c r="B122" s="440"/>
      <c r="C122" s="20"/>
      <c r="D122" s="20"/>
      <c r="E122" s="20"/>
      <c r="F122" s="20"/>
      <c r="G122" s="20"/>
      <c r="H122" s="20"/>
      <c r="I122" s="20"/>
      <c r="J122" s="20"/>
      <c r="K122" s="20"/>
      <c r="L122" s="1600"/>
      <c r="Q122" s="1596"/>
      <c r="S122" s="113"/>
      <c r="T122" s="101"/>
      <c r="U122" s="101"/>
      <c r="V122" s="111"/>
      <c r="W122" s="102"/>
      <c r="X122" s="461">
        <f>X120-U116</f>
        <v>317439240</v>
      </c>
      <c r="Y122" s="341" t="s">
        <v>1209</v>
      </c>
    </row>
    <row r="123" spans="2:25" x14ac:dyDescent="0.25">
      <c r="B123" s="440"/>
      <c r="C123" s="20"/>
      <c r="D123" s="20"/>
      <c r="E123" s="20"/>
      <c r="F123" s="20"/>
      <c r="G123" s="20"/>
      <c r="H123" s="20"/>
      <c r="I123" s="20"/>
      <c r="J123" s="20"/>
      <c r="K123" s="20"/>
      <c r="L123" s="1600"/>
      <c r="Q123" s="1596"/>
      <c r="S123" s="113"/>
      <c r="T123" s="113"/>
      <c r="V123" s="114"/>
      <c r="W123" s="103"/>
    </row>
    <row r="124" spans="2:25" x14ac:dyDescent="0.25">
      <c r="B124" s="440"/>
      <c r="C124" s="20"/>
      <c r="D124" s="20"/>
      <c r="E124" s="20"/>
      <c r="F124" s="20"/>
      <c r="G124" s="20"/>
      <c r="H124" s="20"/>
      <c r="I124" s="20"/>
      <c r="J124" s="20"/>
      <c r="K124" s="20"/>
      <c r="L124" s="99"/>
      <c r="Q124" s="1596"/>
      <c r="S124" s="113"/>
      <c r="T124" s="101"/>
      <c r="U124" s="101"/>
      <c r="V124" s="111"/>
      <c r="W124" s="102"/>
    </row>
    <row r="125" spans="2:25" ht="14" x14ac:dyDescent="0.3">
      <c r="B125" s="440"/>
      <c r="C125" s="20"/>
      <c r="D125" s="20"/>
      <c r="E125" s="20"/>
      <c r="F125" s="20"/>
      <c r="G125" s="20"/>
      <c r="H125" s="20"/>
      <c r="I125" s="20"/>
      <c r="J125" s="20"/>
      <c r="K125" s="20"/>
      <c r="L125" s="112" t="str">
        <f>'E-Gov Aplikasi'!L174</f>
        <v>M. Iqbal Rokan, S.STP.</v>
      </c>
      <c r="Q125" s="1596"/>
      <c r="S125" s="2704" t="str">
        <f>'E-Gov Aplikasi'!S174:U174</f>
        <v>Bustami, SH</v>
      </c>
      <c r="T125" s="2704"/>
      <c r="U125" s="2704"/>
      <c r="V125" s="45"/>
      <c r="W125" s="104"/>
    </row>
    <row r="126" spans="2:25" x14ac:dyDescent="0.25">
      <c r="B126" s="440"/>
      <c r="C126" s="20"/>
      <c r="D126" s="20"/>
      <c r="E126" s="20"/>
      <c r="F126" s="20"/>
      <c r="G126" s="20"/>
      <c r="H126" s="20"/>
      <c r="I126" s="20"/>
      <c r="J126" s="20"/>
      <c r="K126" s="20"/>
      <c r="L126" s="1585" t="str">
        <f>'E-Gov Aplikasi'!L175</f>
        <v>Nip. 19780505 199810 1 001</v>
      </c>
      <c r="Q126" s="1596"/>
      <c r="S126" s="2703" t="str">
        <f>'E-Gov Aplikasi'!S175:U175</f>
        <v>Pembina Utama Muda / Nip. 196308241987031004</v>
      </c>
      <c r="T126" s="2703"/>
      <c r="U126" s="2703"/>
      <c r="V126" s="44"/>
      <c r="W126" s="22"/>
    </row>
    <row r="127" spans="2:25" x14ac:dyDescent="0.25">
      <c r="B127" s="440"/>
      <c r="C127" s="20"/>
      <c r="D127" s="20"/>
      <c r="E127" s="20"/>
      <c r="F127" s="20"/>
      <c r="G127" s="20"/>
      <c r="H127" s="20"/>
      <c r="I127" s="20"/>
      <c r="J127" s="20"/>
      <c r="K127" s="20"/>
      <c r="L127" s="1585"/>
      <c r="Q127" s="1596"/>
      <c r="S127" s="1585"/>
      <c r="T127" s="1585"/>
      <c r="U127" s="1585"/>
      <c r="V127" s="441"/>
      <c r="W127" s="21"/>
    </row>
    <row r="128" spans="2:25" ht="14.25" customHeight="1" x14ac:dyDescent="0.25">
      <c r="B128" s="2705" t="s">
        <v>286</v>
      </c>
      <c r="C128" s="2706"/>
      <c r="D128" s="2706"/>
      <c r="E128" s="2706"/>
      <c r="F128" s="2706"/>
      <c r="G128" s="2706"/>
      <c r="H128" s="2706"/>
      <c r="I128" s="2706"/>
      <c r="J128" s="2706"/>
      <c r="K128" s="2706"/>
      <c r="L128" s="2706"/>
      <c r="M128" s="2707" t="s">
        <v>145</v>
      </c>
      <c r="N128" s="2708"/>
      <c r="O128" s="2708"/>
      <c r="P128" s="2708"/>
      <c r="Q128" s="2708"/>
      <c r="R128" s="2708"/>
      <c r="S128" s="2708"/>
      <c r="T128" s="2708"/>
      <c r="U128" s="2708"/>
      <c r="V128" s="2709"/>
    </row>
    <row r="129" spans="2:22" ht="14.25" customHeight="1" x14ac:dyDescent="0.3">
      <c r="B129" s="2710"/>
      <c r="C129" s="2711"/>
      <c r="D129" s="2711"/>
      <c r="E129" s="2711"/>
      <c r="F129" s="2711"/>
      <c r="G129" s="2711"/>
      <c r="H129" s="2711"/>
      <c r="I129" s="2711"/>
      <c r="J129" s="2711"/>
      <c r="K129" s="2711"/>
      <c r="L129" s="2712"/>
      <c r="M129" s="1586" t="s">
        <v>142</v>
      </c>
      <c r="N129" s="2713"/>
      <c r="O129" s="2713"/>
      <c r="P129" s="2713"/>
      <c r="Q129" s="2714" t="s">
        <v>143</v>
      </c>
      <c r="R129" s="2714"/>
      <c r="S129" s="2714"/>
      <c r="T129" s="1587" t="s">
        <v>144</v>
      </c>
      <c r="U129" s="2714" t="s">
        <v>146</v>
      </c>
      <c r="V129" s="2715"/>
    </row>
    <row r="130" spans="2:22" ht="14.25" customHeight="1" x14ac:dyDescent="0.3">
      <c r="B130" s="2716" t="s">
        <v>293</v>
      </c>
      <c r="C130" s="2717"/>
      <c r="D130" s="2717"/>
      <c r="E130" s="2717"/>
      <c r="F130" s="2717"/>
      <c r="G130" s="2717"/>
      <c r="H130" s="2717"/>
      <c r="I130" s="2717"/>
      <c r="J130" s="2717"/>
      <c r="K130" s="2717"/>
      <c r="L130" s="107">
        <v>0</v>
      </c>
      <c r="M130" s="118">
        <v>1</v>
      </c>
      <c r="N130" s="2718" t="str">
        <f>'E-Gov Aplikasi'!N179:P179</f>
        <v>Weri, SE. MA</v>
      </c>
      <c r="O130" s="2719"/>
      <c r="P130" s="2719"/>
      <c r="Q130" s="2720" t="str">
        <f>'E-Gov Aplikasi'!Q179:S179</f>
        <v>19640525 198903 1 026</v>
      </c>
      <c r="R130" s="2721"/>
      <c r="S130" s="2722"/>
      <c r="T130" s="109" t="s">
        <v>302</v>
      </c>
      <c r="U130" s="442" t="s">
        <v>287</v>
      </c>
      <c r="V130" s="443"/>
    </row>
    <row r="131" spans="2:22" ht="14" x14ac:dyDescent="0.3">
      <c r="B131" s="2716" t="s">
        <v>294</v>
      </c>
      <c r="C131" s="2717"/>
      <c r="D131" s="2717"/>
      <c r="E131" s="2717"/>
      <c r="F131" s="2717"/>
      <c r="G131" s="2717"/>
      <c r="H131" s="2717"/>
      <c r="I131" s="2717"/>
      <c r="J131" s="2717"/>
      <c r="K131" s="2717"/>
      <c r="L131" s="107">
        <v>0</v>
      </c>
      <c r="M131" s="118">
        <v>2</v>
      </c>
      <c r="N131" s="2723" t="str">
        <f>'E-Gov Aplikasi'!N180:P180</f>
        <v>Azmi, SH</v>
      </c>
      <c r="O131" s="2724"/>
      <c r="P131" s="2724"/>
      <c r="Q131" s="2720" t="str">
        <f>'E-Gov Aplikasi'!Q180:S180</f>
        <v>19680824 199903 1 004</v>
      </c>
      <c r="R131" s="2721"/>
      <c r="S131" s="2722"/>
      <c r="T131" s="109" t="s">
        <v>303</v>
      </c>
      <c r="U131" s="444"/>
      <c r="V131" s="445" t="s">
        <v>128</v>
      </c>
    </row>
    <row r="132" spans="2:22" ht="14" x14ac:dyDescent="0.3">
      <c r="B132" s="2716" t="s">
        <v>295</v>
      </c>
      <c r="C132" s="2717"/>
      <c r="D132" s="2717"/>
      <c r="E132" s="2717"/>
      <c r="F132" s="2717"/>
      <c r="G132" s="2717"/>
      <c r="H132" s="2717"/>
      <c r="I132" s="2717"/>
      <c r="J132" s="2717"/>
      <c r="K132" s="2717"/>
      <c r="L132" s="107">
        <v>0</v>
      </c>
      <c r="M132" s="1371">
        <v>3</v>
      </c>
      <c r="N132" s="2723" t="str">
        <f>'E-Gov Aplikasi'!N181:P181</f>
        <v>Muhammad Syaifuddin Ambia, ST, MT</v>
      </c>
      <c r="O132" s="2724"/>
      <c r="P132" s="2724"/>
      <c r="Q132" s="2720" t="str">
        <f>'E-Gov Aplikasi'!Q181:S181</f>
        <v>19741010 200604 1 003</v>
      </c>
      <c r="R132" s="2721"/>
      <c r="S132" s="2722"/>
      <c r="T132" s="109" t="s">
        <v>304</v>
      </c>
      <c r="U132" s="446" t="s">
        <v>292</v>
      </c>
      <c r="V132" s="443"/>
    </row>
    <row r="133" spans="2:22" ht="15" customHeight="1" x14ac:dyDescent="0.3">
      <c r="B133" s="2716" t="s">
        <v>296</v>
      </c>
      <c r="C133" s="2717"/>
      <c r="D133" s="2717"/>
      <c r="E133" s="2717"/>
      <c r="F133" s="2717"/>
      <c r="G133" s="2717"/>
      <c r="H133" s="2717"/>
      <c r="I133" s="2717"/>
      <c r="J133" s="2717"/>
      <c r="K133" s="2717"/>
      <c r="L133" s="107">
        <v>0</v>
      </c>
      <c r="M133" s="118">
        <v>4</v>
      </c>
      <c r="N133" s="2723" t="str">
        <f>'E-Gov Aplikasi'!N182:P182</f>
        <v>Basri, SE, M.Si</v>
      </c>
      <c r="O133" s="2724"/>
      <c r="P133" s="2724"/>
      <c r="Q133" s="2720" t="str">
        <f>'E-Gov Aplikasi'!Q182:S182</f>
        <v>19691213 199403 1 002</v>
      </c>
      <c r="R133" s="2721"/>
      <c r="S133" s="2722"/>
      <c r="T133" s="109" t="s">
        <v>305</v>
      </c>
      <c r="U133" s="444"/>
      <c r="V133" s="445" t="s">
        <v>288</v>
      </c>
    </row>
    <row r="134" spans="2:22" ht="14" x14ac:dyDescent="0.3">
      <c r="B134" s="2716" t="s">
        <v>297</v>
      </c>
      <c r="C134" s="2717"/>
      <c r="D134" s="2717"/>
      <c r="E134" s="2717"/>
      <c r="F134" s="2717"/>
      <c r="G134" s="2717"/>
      <c r="H134" s="2717"/>
      <c r="I134" s="2717"/>
      <c r="J134" s="2717"/>
      <c r="K134" s="2717"/>
      <c r="L134" s="108">
        <f>SUM(L130:L133)</f>
        <v>0</v>
      </c>
      <c r="M134" s="105">
        <v>5</v>
      </c>
      <c r="N134" s="2723" t="str">
        <f>'E-Gov Aplikasi'!N183:P183</f>
        <v>Dewi Shinta Reza, SE. Ak</v>
      </c>
      <c r="O134" s="2724"/>
      <c r="P134" s="2724"/>
      <c r="Q134" s="2720" t="str">
        <f>'E-Gov Aplikasi'!Q183:S183</f>
        <v>19750630 200212 2 003</v>
      </c>
      <c r="R134" s="2721"/>
      <c r="S134" s="2722"/>
      <c r="T134" s="109" t="s">
        <v>306</v>
      </c>
      <c r="U134" s="446" t="s">
        <v>289</v>
      </c>
      <c r="V134" s="443"/>
    </row>
    <row r="135" spans="2:22" ht="13.5" customHeight="1" x14ac:dyDescent="0.3">
      <c r="B135" s="2710"/>
      <c r="C135" s="2711"/>
      <c r="D135" s="2711"/>
      <c r="E135" s="2711"/>
      <c r="F135" s="2711"/>
      <c r="G135" s="2711"/>
      <c r="H135" s="2711"/>
      <c r="I135" s="2711"/>
      <c r="J135" s="2711"/>
      <c r="K135" s="2711"/>
      <c r="L135" s="2712"/>
      <c r="M135" s="105">
        <v>6</v>
      </c>
      <c r="N135" s="2718" t="str">
        <f>'E-Gov Aplikasi'!N184:P184</f>
        <v>Harisman, S.STP, M.Ec.Dev</v>
      </c>
      <c r="O135" s="2719"/>
      <c r="P135" s="2719"/>
      <c r="Q135" s="2720" t="str">
        <f>'E-Gov Aplikasi'!Q184:S184</f>
        <v>19830101 200112 1 003</v>
      </c>
      <c r="R135" s="2721"/>
      <c r="S135" s="2722"/>
      <c r="T135" s="109" t="s">
        <v>307</v>
      </c>
      <c r="U135" s="444"/>
      <c r="V135" s="445" t="s">
        <v>290</v>
      </c>
    </row>
    <row r="136" spans="2:22" ht="14.5" thickBot="1" x14ac:dyDescent="0.35">
      <c r="B136" s="2725"/>
      <c r="C136" s="2726"/>
      <c r="D136" s="2726"/>
      <c r="E136" s="2726"/>
      <c r="F136" s="2726"/>
      <c r="G136" s="2726"/>
      <c r="H136" s="2726"/>
      <c r="I136" s="2726"/>
      <c r="J136" s="2726"/>
      <c r="K136" s="2726"/>
      <c r="L136" s="2727"/>
      <c r="M136" s="106">
        <v>7</v>
      </c>
      <c r="N136" s="2728" t="str">
        <f>'E-Gov Aplikasi'!N185:P185</f>
        <v>Alriandi, S.STP, M.Si</v>
      </c>
      <c r="O136" s="2729"/>
      <c r="P136" s="2729"/>
      <c r="Q136" s="2733" t="str">
        <f>'E-Gov Aplikasi'!Q185:S185</f>
        <v>19830308 200112 1 001</v>
      </c>
      <c r="R136" s="2734"/>
      <c r="S136" s="2735"/>
      <c r="T136" s="110" t="s">
        <v>308</v>
      </c>
      <c r="U136" s="447" t="s">
        <v>291</v>
      </c>
      <c r="V136" s="448"/>
    </row>
    <row r="137" spans="2:22" ht="13" thickTop="1" x14ac:dyDescent="0.25">
      <c r="B137" s="1596"/>
      <c r="C137" s="1596"/>
      <c r="D137" s="1596"/>
      <c r="E137" s="1596"/>
      <c r="F137" s="1596"/>
      <c r="G137" s="1596"/>
      <c r="H137" s="1596"/>
      <c r="I137" s="1596"/>
      <c r="J137" s="1596"/>
      <c r="K137" s="1596"/>
      <c r="L137" s="1596"/>
      <c r="M137" s="1596"/>
      <c r="N137" s="1596"/>
      <c r="O137" s="1596"/>
      <c r="P137" s="1596"/>
    </row>
    <row r="138" spans="2:22" x14ac:dyDescent="0.25">
      <c r="B138" s="1596"/>
      <c r="C138" s="1596"/>
      <c r="D138" s="1596"/>
      <c r="E138" s="1596"/>
      <c r="F138" s="1596"/>
      <c r="G138" s="1596"/>
      <c r="H138" s="1596"/>
      <c r="I138" s="1596"/>
      <c r="J138" s="1596"/>
      <c r="K138" s="1596"/>
      <c r="L138" s="1596"/>
      <c r="M138" s="1596"/>
      <c r="N138" s="1596"/>
      <c r="O138" s="1596"/>
      <c r="P138" s="1596"/>
    </row>
    <row r="139" spans="2:22" x14ac:dyDescent="0.25">
      <c r="B139" s="1596"/>
      <c r="C139" s="1596"/>
      <c r="D139" s="1596"/>
      <c r="E139" s="1596"/>
      <c r="F139" s="1596"/>
      <c r="G139" s="1596"/>
      <c r="H139" s="1596"/>
      <c r="I139" s="1596"/>
      <c r="J139" s="1596"/>
      <c r="K139" s="1596"/>
      <c r="L139" s="1596"/>
      <c r="M139" s="1596"/>
      <c r="N139" s="1596"/>
      <c r="O139" s="1596"/>
      <c r="P139" s="1596"/>
    </row>
    <row r="140" spans="2:22" x14ac:dyDescent="0.25">
      <c r="B140" s="1596"/>
      <c r="C140" s="1596"/>
      <c r="D140" s="1596"/>
      <c r="E140" s="1596"/>
      <c r="F140" s="1596"/>
      <c r="G140" s="1596"/>
      <c r="H140" s="1596"/>
      <c r="I140" s="1596"/>
      <c r="J140" s="1596"/>
      <c r="K140" s="1596"/>
      <c r="L140" s="1596"/>
      <c r="M140" s="1596"/>
      <c r="N140" s="1596"/>
      <c r="O140" s="1596"/>
      <c r="P140" s="1596"/>
    </row>
    <row r="141" spans="2:22" x14ac:dyDescent="0.25">
      <c r="B141" s="1596"/>
      <c r="C141" s="1596"/>
      <c r="D141" s="1596"/>
      <c r="E141" s="1596"/>
      <c r="F141" s="1596"/>
      <c r="G141" s="1596"/>
      <c r="H141" s="1596"/>
      <c r="I141" s="1596"/>
      <c r="J141" s="1596"/>
      <c r="K141" s="1596"/>
      <c r="L141" s="1596"/>
      <c r="M141" s="1596"/>
      <c r="N141" s="1596"/>
      <c r="O141" s="1596"/>
      <c r="P141" s="1596"/>
    </row>
    <row r="142" spans="2:22" x14ac:dyDescent="0.25">
      <c r="B142" s="1596"/>
      <c r="C142" s="1596"/>
      <c r="D142" s="1596"/>
      <c r="E142" s="1596"/>
      <c r="F142" s="1596"/>
      <c r="G142" s="1596"/>
      <c r="H142" s="1596"/>
      <c r="I142" s="1596"/>
      <c r="J142" s="1596"/>
      <c r="K142" s="1596"/>
      <c r="L142" s="1596"/>
      <c r="M142" s="1596"/>
      <c r="N142" s="1596"/>
      <c r="O142" s="1596"/>
      <c r="P142" s="1596"/>
    </row>
    <row r="143" spans="2:22" x14ac:dyDescent="0.25">
      <c r="B143" s="1596"/>
      <c r="C143" s="1596"/>
      <c r="D143" s="1596"/>
      <c r="E143" s="1596"/>
      <c r="F143" s="1596"/>
      <c r="G143" s="1596"/>
      <c r="H143" s="1596"/>
      <c r="I143" s="1596"/>
      <c r="J143" s="1596"/>
      <c r="K143" s="1596"/>
      <c r="L143" s="1596"/>
      <c r="M143" s="1596"/>
      <c r="N143" s="1596"/>
      <c r="O143" s="1596"/>
      <c r="P143" s="1596"/>
    </row>
    <row r="144" spans="2:22" x14ac:dyDescent="0.25">
      <c r="B144" s="1596"/>
      <c r="C144" s="1596"/>
      <c r="D144" s="1596"/>
      <c r="E144" s="1596"/>
      <c r="F144" s="1596"/>
      <c r="G144" s="1596"/>
      <c r="H144" s="1596"/>
      <c r="I144" s="1596"/>
      <c r="J144" s="1596"/>
      <c r="K144" s="1596"/>
      <c r="L144" s="1596"/>
      <c r="M144" s="1596"/>
      <c r="N144" s="1596"/>
      <c r="O144" s="1596"/>
      <c r="P144" s="1596"/>
    </row>
    <row r="145" spans="2:16" x14ac:dyDescent="0.25">
      <c r="B145" s="1596"/>
      <c r="C145" s="1596"/>
      <c r="D145" s="1596"/>
      <c r="E145" s="1596"/>
      <c r="F145" s="1596"/>
      <c r="G145" s="1596"/>
      <c r="H145" s="1596"/>
      <c r="I145" s="1596"/>
      <c r="J145" s="1596"/>
      <c r="K145" s="1596"/>
      <c r="L145" s="1596"/>
      <c r="M145" s="1596"/>
      <c r="N145" s="1596"/>
      <c r="O145" s="1596"/>
      <c r="P145" s="1596"/>
    </row>
    <row r="146" spans="2:16" x14ac:dyDescent="0.25">
      <c r="B146" s="1596"/>
      <c r="C146" s="1596"/>
      <c r="D146" s="1596"/>
      <c r="E146" s="1596"/>
      <c r="F146" s="1596"/>
      <c r="G146" s="1596"/>
      <c r="H146" s="1596"/>
      <c r="I146" s="1596"/>
      <c r="J146" s="1596"/>
      <c r="K146" s="1596"/>
      <c r="L146" s="1596"/>
      <c r="M146" s="1596"/>
      <c r="N146" s="1596"/>
      <c r="O146" s="1596"/>
      <c r="P146" s="1596"/>
    </row>
    <row r="147" spans="2:16" x14ac:dyDescent="0.25">
      <c r="B147" s="1596"/>
      <c r="C147" s="1596"/>
      <c r="D147" s="1596"/>
      <c r="E147" s="1596"/>
      <c r="F147" s="1596"/>
      <c r="G147" s="1596"/>
      <c r="H147" s="1596"/>
      <c r="I147" s="1596"/>
      <c r="J147" s="1596"/>
      <c r="K147" s="1596"/>
      <c r="L147" s="1596"/>
      <c r="M147" s="1596"/>
      <c r="N147" s="1596"/>
      <c r="O147" s="1596"/>
      <c r="P147" s="1596"/>
    </row>
    <row r="148" spans="2:16" x14ac:dyDescent="0.25">
      <c r="B148" s="1596"/>
      <c r="C148" s="1596"/>
      <c r="D148" s="1596"/>
      <c r="E148" s="1596"/>
      <c r="F148" s="1596"/>
      <c r="G148" s="1596"/>
      <c r="H148" s="1596"/>
      <c r="I148" s="1596"/>
      <c r="J148" s="1596"/>
      <c r="K148" s="1596"/>
      <c r="L148" s="1596"/>
      <c r="M148" s="1596"/>
      <c r="N148" s="1596"/>
      <c r="O148" s="1596"/>
      <c r="P148" s="1596"/>
    </row>
    <row r="149" spans="2:16" x14ac:dyDescent="0.25">
      <c r="B149" s="1596"/>
      <c r="C149" s="1596"/>
      <c r="D149" s="1596"/>
      <c r="E149" s="1596"/>
      <c r="F149" s="1596"/>
      <c r="G149" s="1596"/>
      <c r="H149" s="1596"/>
      <c r="I149" s="1596"/>
      <c r="J149" s="1596"/>
      <c r="K149" s="1596"/>
      <c r="L149" s="1596"/>
      <c r="M149" s="1596"/>
      <c r="N149" s="1596"/>
      <c r="O149" s="1596"/>
      <c r="P149" s="1596"/>
    </row>
    <row r="150" spans="2:16" x14ac:dyDescent="0.25">
      <c r="B150" s="1596"/>
      <c r="C150" s="1596"/>
      <c r="D150" s="1596"/>
      <c r="E150" s="1596"/>
      <c r="F150" s="1596"/>
      <c r="G150" s="1596"/>
      <c r="H150" s="1596"/>
      <c r="I150" s="1596"/>
      <c r="J150" s="1596"/>
      <c r="K150" s="1596"/>
      <c r="L150" s="1596"/>
      <c r="M150" s="1596"/>
      <c r="N150" s="1596"/>
      <c r="O150" s="1596"/>
      <c r="P150" s="1596"/>
    </row>
    <row r="151" spans="2:16" x14ac:dyDescent="0.25">
      <c r="B151" s="1596"/>
      <c r="C151" s="1596"/>
      <c r="D151" s="1596"/>
      <c r="E151" s="1596"/>
      <c r="F151" s="1596"/>
      <c r="G151" s="1596"/>
      <c r="H151" s="1596"/>
      <c r="I151" s="1596"/>
      <c r="J151" s="1596"/>
      <c r="K151" s="1596"/>
      <c r="L151" s="1596"/>
      <c r="M151" s="1596"/>
      <c r="N151" s="1596"/>
      <c r="O151" s="1596"/>
      <c r="P151" s="1596"/>
    </row>
    <row r="152" spans="2:16" x14ac:dyDescent="0.25">
      <c r="B152" s="1596"/>
      <c r="C152" s="1596"/>
      <c r="D152" s="1596"/>
      <c r="E152" s="1596"/>
      <c r="F152" s="1596"/>
      <c r="G152" s="1596"/>
      <c r="H152" s="1596"/>
      <c r="I152" s="1596"/>
      <c r="J152" s="1596"/>
      <c r="K152" s="1596"/>
      <c r="L152" s="1596"/>
      <c r="M152" s="1596"/>
      <c r="N152" s="1596"/>
      <c r="O152" s="1596"/>
      <c r="P152" s="1596"/>
    </row>
    <row r="153" spans="2:16" x14ac:dyDescent="0.25">
      <c r="B153" s="1596"/>
      <c r="C153" s="1596"/>
      <c r="D153" s="1596"/>
      <c r="E153" s="1596"/>
      <c r="F153" s="1596"/>
      <c r="G153" s="1596"/>
      <c r="H153" s="1596"/>
      <c r="I153" s="1596"/>
      <c r="J153" s="1596"/>
      <c r="K153" s="1596"/>
      <c r="L153" s="1596"/>
      <c r="M153" s="1596"/>
      <c r="N153" s="1596"/>
      <c r="O153" s="1596"/>
      <c r="P153" s="1596"/>
    </row>
  </sheetData>
  <mergeCells count="98">
    <mergeCell ref="B136:L136"/>
    <mergeCell ref="N136:P136"/>
    <mergeCell ref="Q136:S136"/>
    <mergeCell ref="S119:U119"/>
    <mergeCell ref="B134:K134"/>
    <mergeCell ref="N134:P134"/>
    <mergeCell ref="Q134:S134"/>
    <mergeCell ref="B135:L135"/>
    <mergeCell ref="N135:P135"/>
    <mergeCell ref="Q135:S135"/>
    <mergeCell ref="B132:K132"/>
    <mergeCell ref="N132:P132"/>
    <mergeCell ref="Q132:S132"/>
    <mergeCell ref="B133:K133"/>
    <mergeCell ref="N133:P133"/>
    <mergeCell ref="Q133:S133"/>
    <mergeCell ref="B130:K130"/>
    <mergeCell ref="N130:P130"/>
    <mergeCell ref="Q130:S130"/>
    <mergeCell ref="B131:K131"/>
    <mergeCell ref="N131:P131"/>
    <mergeCell ref="Q131:S131"/>
    <mergeCell ref="B129:L129"/>
    <mergeCell ref="N129:P129"/>
    <mergeCell ref="Q129:S129"/>
    <mergeCell ref="U129:V129"/>
    <mergeCell ref="B27:K27"/>
    <mergeCell ref="B116:O116"/>
    <mergeCell ref="Q116:S116"/>
    <mergeCell ref="B117:V117"/>
    <mergeCell ref="S120:U120"/>
    <mergeCell ref="S121:U121"/>
    <mergeCell ref="S125:U125"/>
    <mergeCell ref="S126:U126"/>
    <mergeCell ref="B128:L128"/>
    <mergeCell ref="M128:V128"/>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1:K11"/>
    <mergeCell ref="M11:V11"/>
    <mergeCell ref="B12:L12"/>
    <mergeCell ref="M12:V12"/>
    <mergeCell ref="B13:V13"/>
    <mergeCell ref="B14:K15"/>
    <mergeCell ref="L14:P14"/>
    <mergeCell ref="Q14:V14"/>
    <mergeCell ref="M15:P15"/>
    <mergeCell ref="Q15:S15"/>
    <mergeCell ref="T15:V15"/>
    <mergeCell ref="B16:K16"/>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hyperlinks>
    <hyperlink ref="P48" r:id="rId1" display="=@sum(P49:P53)"/>
    <hyperlink ref="T48" r:id="rId2" display="=@sum(P49:P53)"/>
  </hyperlinks>
  <pageMargins left="0.7" right="0.7" top="0.75" bottom="0.75" header="0.3" footer="0.3"/>
  <pageSetup paperSize="5" scale="55" orientation="landscape" horizontalDpi="4294967292" verticalDpi="1200" r:id="rId3"/>
  <rowBreaks count="1" manualBreakCount="1">
    <brk id="118" min="1" max="21" man="1"/>
  </rowBreaks>
  <drawing r:id="rId4"/>
  <legacy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108"/>
  <sheetViews>
    <sheetView view="pageBreakPreview" zoomScale="73" zoomScaleNormal="90" workbookViewId="0">
      <selection activeCell="M9" sqref="M9:V9"/>
    </sheetView>
  </sheetViews>
  <sheetFormatPr defaultColWidth="8.7265625" defaultRowHeight="12.5" x14ac:dyDescent="0.25"/>
  <cols>
    <col min="1" max="1" width="5.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17.1796875" style="341" customWidth="1"/>
    <col min="17" max="17" width="9" style="341" customWidth="1"/>
    <col min="18" max="18" width="8" style="341" customWidth="1"/>
    <col min="19" max="19" width="15.1796875" style="341" customWidth="1"/>
    <col min="20" max="20" width="30.5429687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884" t="s">
        <v>313</v>
      </c>
      <c r="T3" s="2672"/>
      <c r="U3" s="2885"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'Smart Suwarga'!B5:V5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591"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592"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598" t="s">
        <v>1148</v>
      </c>
      <c r="M8" s="2862" t="s">
        <v>1149</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1150</v>
      </c>
      <c r="M9" s="2866" t="s">
        <v>1151</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'Smart Suwarga'!M10:V10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90</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586" t="s">
        <v>270</v>
      </c>
      <c r="M15" s="2859" t="s">
        <v>281</v>
      </c>
      <c r="N15" s="2851"/>
      <c r="O15" s="2851"/>
      <c r="P15" s="2860"/>
      <c r="Q15" s="2713" t="s">
        <v>270</v>
      </c>
      <c r="R15" s="2713"/>
      <c r="S15" s="2713"/>
      <c r="T15" s="2713" t="s">
        <v>281</v>
      </c>
      <c r="U15" s="2713"/>
      <c r="V15" s="2861"/>
      <c r="W15" s="520"/>
    </row>
    <row r="16" spans="2:24" ht="25" x14ac:dyDescent="0.3">
      <c r="B16" s="2817" t="s">
        <v>14</v>
      </c>
      <c r="C16" s="2818"/>
      <c r="D16" s="2818"/>
      <c r="E16" s="2818"/>
      <c r="F16" s="2818"/>
      <c r="G16" s="2818"/>
      <c r="H16" s="2818"/>
      <c r="I16" s="2818"/>
      <c r="J16" s="2818"/>
      <c r="K16" s="2882"/>
      <c r="L16" s="811" t="s">
        <v>1152</v>
      </c>
      <c r="M16" s="2507" t="s">
        <v>1153</v>
      </c>
      <c r="N16" s="2508"/>
      <c r="O16" s="2508"/>
      <c r="P16" s="2886"/>
      <c r="Q16" s="2821">
        <v>1</v>
      </c>
      <c r="R16" s="2822"/>
      <c r="S16" s="2822"/>
      <c r="T16" s="2872">
        <v>1</v>
      </c>
      <c r="U16" s="2873"/>
      <c r="V16" s="2874"/>
      <c r="W16" s="522"/>
      <c r="X16" s="523"/>
    </row>
    <row r="17" spans="2:22" ht="14" x14ac:dyDescent="0.3">
      <c r="B17" s="2817" t="s">
        <v>135</v>
      </c>
      <c r="C17" s="2818"/>
      <c r="D17" s="2818"/>
      <c r="E17" s="2818"/>
      <c r="F17" s="2818"/>
      <c r="G17" s="2818"/>
      <c r="H17" s="2818"/>
      <c r="I17" s="2818"/>
      <c r="J17" s="2818"/>
      <c r="K17" s="2882"/>
      <c r="L17" s="811" t="s">
        <v>430</v>
      </c>
      <c r="M17" s="2933" t="str">
        <f>L17</f>
        <v>Jumlah Dana Yang Dibutuhkan</v>
      </c>
      <c r="N17" s="2933"/>
      <c r="O17" s="2933"/>
      <c r="P17" s="2933"/>
      <c r="Q17" s="2839">
        <f>P28</f>
        <v>15312600</v>
      </c>
      <c r="R17" s="2840"/>
      <c r="S17" s="2841"/>
      <c r="T17" s="2842">
        <f>T28</f>
        <v>0</v>
      </c>
      <c r="U17" s="2842"/>
      <c r="V17" s="2843"/>
    </row>
    <row r="18" spans="2:22" ht="27" customHeight="1" x14ac:dyDescent="0.3">
      <c r="B18" s="2817" t="s">
        <v>136</v>
      </c>
      <c r="C18" s="2818"/>
      <c r="D18" s="2818"/>
      <c r="E18" s="2818"/>
      <c r="F18" s="2818"/>
      <c r="G18" s="2818"/>
      <c r="H18" s="2818"/>
      <c r="I18" s="2818"/>
      <c r="J18" s="2818"/>
      <c r="K18" s="2882"/>
      <c r="L18" s="811" t="s">
        <v>1154</v>
      </c>
      <c r="M18" s="2875" t="s">
        <v>1154</v>
      </c>
      <c r="N18" s="2875"/>
      <c r="O18" s="2875"/>
      <c r="P18" s="2875"/>
      <c r="Q18" s="2616" t="s">
        <v>1210</v>
      </c>
      <c r="R18" s="2616"/>
      <c r="S18" s="2616"/>
      <c r="T18" s="2616" t="str">
        <f>Q18</f>
        <v>30 orang</v>
      </c>
      <c r="U18" s="2616"/>
      <c r="V18" s="2616"/>
    </row>
    <row r="19" spans="2:22" ht="25" x14ac:dyDescent="0.3">
      <c r="B19" s="2817" t="s">
        <v>137</v>
      </c>
      <c r="C19" s="2818"/>
      <c r="D19" s="2818"/>
      <c r="E19" s="2818"/>
      <c r="F19" s="2818"/>
      <c r="G19" s="2818"/>
      <c r="H19" s="2818"/>
      <c r="I19" s="2818"/>
      <c r="J19" s="2818"/>
      <c r="K19" s="2882"/>
      <c r="L19" s="811" t="s">
        <v>1155</v>
      </c>
      <c r="M19" s="2875" t="s">
        <v>1155</v>
      </c>
      <c r="N19" s="2875"/>
      <c r="O19" s="2875"/>
      <c r="P19" s="2875"/>
      <c r="Q19" s="2830">
        <v>0.9</v>
      </c>
      <c r="R19" s="2616"/>
      <c r="S19" s="2837"/>
      <c r="T19" s="2830">
        <v>0.9</v>
      </c>
      <c r="U19" s="2616"/>
      <c r="V19" s="2837"/>
    </row>
    <row r="20" spans="2:22" ht="14.25" customHeight="1" x14ac:dyDescent="0.3">
      <c r="B20" s="2824" t="s">
        <v>1156</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876"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876"/>
      <c r="M23" s="2640" t="s">
        <v>125</v>
      </c>
      <c r="N23" s="2641"/>
      <c r="O23" s="2642"/>
      <c r="P23" s="1596"/>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15" t="s">
        <v>122</v>
      </c>
      <c r="Q24" s="2878" t="s">
        <v>127</v>
      </c>
      <c r="R24" s="2880" t="s">
        <v>8</v>
      </c>
      <c r="S24" s="2880" t="s">
        <v>129</v>
      </c>
      <c r="T24" s="8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15" t="s">
        <v>123</v>
      </c>
      <c r="Q25" s="2879"/>
      <c r="R25" s="2881"/>
      <c r="S25" s="2881"/>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589" t="s">
        <v>7</v>
      </c>
      <c r="Q27" s="147">
        <v>7</v>
      </c>
      <c r="R27" s="147">
        <v>8</v>
      </c>
      <c r="S27" s="86">
        <v>9</v>
      </c>
      <c r="T27" s="90" t="s">
        <v>275</v>
      </c>
      <c r="U27" s="1337" t="s">
        <v>274</v>
      </c>
      <c r="V27" s="93">
        <v>12</v>
      </c>
    </row>
    <row r="28" spans="2:22" ht="13" thickTop="1" x14ac:dyDescent="0.25">
      <c r="B28" s="1934">
        <v>1</v>
      </c>
      <c r="C28" s="1935" t="s">
        <v>239</v>
      </c>
      <c r="D28" s="1935" t="s">
        <v>84</v>
      </c>
      <c r="E28" s="1936"/>
      <c r="F28" s="1376"/>
      <c r="G28" s="601">
        <v>5</v>
      </c>
      <c r="H28" s="601">
        <v>2</v>
      </c>
      <c r="I28" s="1717"/>
      <c r="J28" s="1937"/>
      <c r="K28" s="1937"/>
      <c r="L28" s="2271" t="s">
        <v>54</v>
      </c>
      <c r="M28" s="2274"/>
      <c r="N28" s="2275"/>
      <c r="O28" s="2190"/>
      <c r="P28" s="2350">
        <f>P29</f>
        <v>15312600</v>
      </c>
      <c r="Q28" s="2274"/>
      <c r="R28" s="2275"/>
      <c r="S28" s="2190"/>
      <c r="T28" s="2350">
        <f>T29</f>
        <v>0</v>
      </c>
      <c r="U28" s="424">
        <f>SUM(T28)-P28</f>
        <v>-15312600</v>
      </c>
      <c r="V28" s="425"/>
    </row>
    <row r="29" spans="2:22" ht="25" x14ac:dyDescent="0.25">
      <c r="B29" s="1101">
        <v>1</v>
      </c>
      <c r="C29" s="1102" t="s">
        <v>239</v>
      </c>
      <c r="D29" s="1102" t="s">
        <v>84</v>
      </c>
      <c r="E29" s="826">
        <v>17</v>
      </c>
      <c r="F29" s="827"/>
      <c r="G29" s="1075"/>
      <c r="H29" s="1075"/>
      <c r="I29" s="1075"/>
      <c r="J29" s="1938"/>
      <c r="K29" s="1938"/>
      <c r="L29" s="1939" t="s">
        <v>1149</v>
      </c>
      <c r="M29" s="829"/>
      <c r="N29" s="1967"/>
      <c r="O29" s="1968"/>
      <c r="P29" s="876">
        <f>P30</f>
        <v>15312600</v>
      </c>
      <c r="Q29" s="829"/>
      <c r="R29" s="1967"/>
      <c r="S29" s="1968"/>
      <c r="T29" s="876">
        <f>T30</f>
        <v>0</v>
      </c>
      <c r="U29" s="2097"/>
      <c r="V29" s="761"/>
    </row>
    <row r="30" spans="2:22" ht="25" x14ac:dyDescent="0.25">
      <c r="B30" s="654">
        <v>1</v>
      </c>
      <c r="C30" s="564" t="s">
        <v>239</v>
      </c>
      <c r="D30" s="564" t="s">
        <v>84</v>
      </c>
      <c r="E30" s="827">
        <v>17</v>
      </c>
      <c r="F30" s="798" t="s">
        <v>84</v>
      </c>
      <c r="G30" s="1075"/>
      <c r="H30" s="1075"/>
      <c r="I30" s="1074"/>
      <c r="J30" s="1938"/>
      <c r="K30" s="1938"/>
      <c r="L30" s="823" t="s">
        <v>1151</v>
      </c>
      <c r="M30" s="829"/>
      <c r="N30" s="1967"/>
      <c r="O30" s="1968"/>
      <c r="P30" s="876">
        <f>P32+P45</f>
        <v>15312600</v>
      </c>
      <c r="Q30" s="829"/>
      <c r="R30" s="1967"/>
      <c r="S30" s="1968"/>
      <c r="T30" s="876">
        <f>T32+T45</f>
        <v>0</v>
      </c>
      <c r="U30" s="428">
        <f>SUM(T30)-P30</f>
        <v>-15312600</v>
      </c>
      <c r="V30" s="761"/>
    </row>
    <row r="31" spans="2:22" x14ac:dyDescent="0.25">
      <c r="B31" s="486"/>
      <c r="C31" s="487"/>
      <c r="D31" s="487"/>
      <c r="E31" s="1650"/>
      <c r="F31" s="487"/>
      <c r="G31" s="473"/>
      <c r="H31" s="473"/>
      <c r="I31" s="489"/>
      <c r="J31" s="2338"/>
      <c r="K31" s="2339"/>
      <c r="L31" s="1971"/>
      <c r="M31" s="829"/>
      <c r="N31" s="1967"/>
      <c r="O31" s="1968"/>
      <c r="P31" s="558"/>
      <c r="Q31" s="829"/>
      <c r="R31" s="1967"/>
      <c r="S31" s="1968"/>
      <c r="T31" s="558"/>
      <c r="U31" s="2097"/>
      <c r="V31" s="761"/>
    </row>
    <row r="32" spans="2:22" ht="17.5" customHeight="1" x14ac:dyDescent="0.25">
      <c r="B32" s="654">
        <v>1</v>
      </c>
      <c r="C32" s="564" t="s">
        <v>239</v>
      </c>
      <c r="D32" s="564" t="s">
        <v>84</v>
      </c>
      <c r="E32" s="827">
        <v>17</v>
      </c>
      <c r="F32" s="798" t="s">
        <v>84</v>
      </c>
      <c r="G32" s="1816">
        <v>5</v>
      </c>
      <c r="H32" s="1816">
        <v>2</v>
      </c>
      <c r="I32" s="1815">
        <v>1</v>
      </c>
      <c r="J32" s="1815"/>
      <c r="K32" s="1815"/>
      <c r="L32" s="2340" t="s">
        <v>39</v>
      </c>
      <c r="M32" s="830"/>
      <c r="N32" s="1807"/>
      <c r="O32" s="1970"/>
      <c r="P32" s="1882">
        <f>P33+P37</f>
        <v>7250000</v>
      </c>
      <c r="Q32" s="830"/>
      <c r="R32" s="1807"/>
      <c r="S32" s="1970"/>
      <c r="T32" s="1882">
        <f>T33+T37</f>
        <v>0</v>
      </c>
      <c r="U32" s="428">
        <f>SUM(T32)-P32</f>
        <v>-7250000</v>
      </c>
      <c r="V32" s="761"/>
    </row>
    <row r="33" spans="2:22" x14ac:dyDescent="0.25">
      <c r="B33" s="654">
        <v>1</v>
      </c>
      <c r="C33" s="564" t="s">
        <v>239</v>
      </c>
      <c r="D33" s="564" t="s">
        <v>84</v>
      </c>
      <c r="E33" s="827">
        <v>17</v>
      </c>
      <c r="F33" s="798" t="s">
        <v>84</v>
      </c>
      <c r="G33" s="1816">
        <v>5</v>
      </c>
      <c r="H33" s="1816">
        <v>2</v>
      </c>
      <c r="I33" s="1815">
        <v>1</v>
      </c>
      <c r="J33" s="1813" t="s">
        <v>84</v>
      </c>
      <c r="K33" s="1815"/>
      <c r="L33" s="2341" t="s">
        <v>96</v>
      </c>
      <c r="M33" s="830"/>
      <c r="N33" s="2342"/>
      <c r="O33" s="2343"/>
      <c r="P33" s="1882">
        <f>SUM(P34)</f>
        <v>750000</v>
      </c>
      <c r="Q33" s="830"/>
      <c r="R33" s="2342"/>
      <c r="S33" s="2343"/>
      <c r="T33" s="1882">
        <f>SUM(T34)</f>
        <v>0</v>
      </c>
      <c r="U33" s="428">
        <f>SUM(T33)-P33</f>
        <v>-750000</v>
      </c>
      <c r="V33" s="761"/>
    </row>
    <row r="34" spans="2:22" x14ac:dyDescent="0.25">
      <c r="B34" s="654">
        <v>1</v>
      </c>
      <c r="C34" s="564" t="s">
        <v>239</v>
      </c>
      <c r="D34" s="564" t="s">
        <v>84</v>
      </c>
      <c r="E34" s="827">
        <v>17</v>
      </c>
      <c r="F34" s="798" t="s">
        <v>84</v>
      </c>
      <c r="G34" s="1816">
        <v>5</v>
      </c>
      <c r="H34" s="1816">
        <v>2</v>
      </c>
      <c r="I34" s="1815">
        <v>1</v>
      </c>
      <c r="J34" s="1813" t="s">
        <v>84</v>
      </c>
      <c r="K34" s="1813" t="s">
        <v>84</v>
      </c>
      <c r="L34" s="1809" t="s">
        <v>85</v>
      </c>
      <c r="M34" s="604"/>
      <c r="N34" s="1738"/>
      <c r="O34" s="1807"/>
      <c r="P34" s="1808">
        <f>SUM(P35)</f>
        <v>750000</v>
      </c>
      <c r="Q34" s="604"/>
      <c r="R34" s="1738"/>
      <c r="S34" s="1807"/>
      <c r="T34" s="1808">
        <f>SUM(T35)</f>
        <v>0</v>
      </c>
      <c r="U34" s="428">
        <f>SUM(T34)-P34</f>
        <v>-750000</v>
      </c>
      <c r="V34" s="439">
        <f>U34/P34*100</f>
        <v>-100</v>
      </c>
    </row>
    <row r="35" spans="2:22" ht="37.5" x14ac:dyDescent="0.25">
      <c r="B35" s="1812"/>
      <c r="C35" s="1813"/>
      <c r="D35" s="1813"/>
      <c r="E35" s="1814"/>
      <c r="F35" s="1813"/>
      <c r="G35" s="1815"/>
      <c r="H35" s="1815"/>
      <c r="I35" s="2344"/>
      <c r="J35" s="2345"/>
      <c r="K35" s="1813"/>
      <c r="L35" s="885" t="s">
        <v>1218</v>
      </c>
      <c r="M35" s="604">
        <v>3</v>
      </c>
      <c r="N35" s="605" t="s">
        <v>82</v>
      </c>
      <c r="O35" s="606">
        <v>250000</v>
      </c>
      <c r="P35" s="610">
        <f>O35*M35</f>
        <v>750000</v>
      </c>
      <c r="Q35" s="604"/>
      <c r="R35" s="605"/>
      <c r="S35" s="606"/>
      <c r="T35" s="610">
        <f>S35*Q35</f>
        <v>0</v>
      </c>
      <c r="U35" s="428">
        <f>SUM(T35)-P35</f>
        <v>-750000</v>
      </c>
      <c r="V35" s="761"/>
    </row>
    <row r="36" spans="2:22" x14ac:dyDescent="0.25">
      <c r="B36" s="486"/>
      <c r="C36" s="487"/>
      <c r="D36" s="487"/>
      <c r="E36" s="1650"/>
      <c r="F36" s="1650"/>
      <c r="G36" s="473"/>
      <c r="H36" s="473"/>
      <c r="I36" s="489"/>
      <c r="J36" s="2338"/>
      <c r="K36" s="2338"/>
      <c r="L36" s="2346"/>
      <c r="M36" s="1073"/>
      <c r="N36" s="500"/>
      <c r="O36" s="1683"/>
      <c r="P36" s="558"/>
      <c r="Q36" s="1073"/>
      <c r="R36" s="500"/>
      <c r="S36" s="1683"/>
      <c r="T36" s="558"/>
      <c r="U36" s="428">
        <f>SUM(T36)-P36</f>
        <v>0</v>
      </c>
      <c r="V36" s="761"/>
    </row>
    <row r="37" spans="2:22" x14ac:dyDescent="0.25">
      <c r="B37" s="654">
        <v>1</v>
      </c>
      <c r="C37" s="564" t="s">
        <v>239</v>
      </c>
      <c r="D37" s="564" t="s">
        <v>84</v>
      </c>
      <c r="E37" s="827">
        <v>17</v>
      </c>
      <c r="F37" s="798" t="s">
        <v>84</v>
      </c>
      <c r="G37" s="623">
        <v>5</v>
      </c>
      <c r="H37" s="623">
        <v>2</v>
      </c>
      <c r="I37" s="621">
        <v>1</v>
      </c>
      <c r="J37" s="2310" t="s">
        <v>87</v>
      </c>
      <c r="K37" s="621"/>
      <c r="L37" s="2009" t="s">
        <v>107</v>
      </c>
      <c r="M37" s="850"/>
      <c r="N37" s="1914"/>
      <c r="O37" s="1915"/>
      <c r="P37" s="1931">
        <f>P38</f>
        <v>6500000</v>
      </c>
      <c r="Q37" s="850"/>
      <c r="R37" s="1914"/>
      <c r="S37" s="1915"/>
      <c r="T37" s="1931">
        <f>T38</f>
        <v>0</v>
      </c>
      <c r="U37" s="2097"/>
      <c r="V37" s="761"/>
    </row>
    <row r="38" spans="2:22" x14ac:dyDescent="0.25">
      <c r="B38" s="654">
        <v>1</v>
      </c>
      <c r="C38" s="564" t="s">
        <v>239</v>
      </c>
      <c r="D38" s="564" t="s">
        <v>84</v>
      </c>
      <c r="E38" s="827">
        <v>17</v>
      </c>
      <c r="F38" s="798" t="s">
        <v>84</v>
      </c>
      <c r="G38" s="623">
        <v>5</v>
      </c>
      <c r="H38" s="623">
        <v>2</v>
      </c>
      <c r="I38" s="621">
        <v>1</v>
      </c>
      <c r="J38" s="2310" t="s">
        <v>87</v>
      </c>
      <c r="K38" s="2310" t="s">
        <v>97</v>
      </c>
      <c r="L38" s="1999" t="s">
        <v>175</v>
      </c>
      <c r="M38" s="847"/>
      <c r="N38" s="1326"/>
      <c r="O38" s="1917"/>
      <c r="P38" s="562">
        <f>SUM(P39:P43)</f>
        <v>6500000</v>
      </c>
      <c r="Q38" s="847"/>
      <c r="R38" s="1326"/>
      <c r="S38" s="1917"/>
      <c r="T38" s="562">
        <f>SUM(T39:T43)</f>
        <v>0</v>
      </c>
      <c r="U38" s="428">
        <f>SUM(T38)-P38</f>
        <v>-6500000</v>
      </c>
      <c r="V38" s="643">
        <f>U38/P38*100</f>
        <v>-100</v>
      </c>
    </row>
    <row r="39" spans="2:22" x14ac:dyDescent="0.25">
      <c r="B39" s="620"/>
      <c r="C39" s="2310"/>
      <c r="D39" s="2310"/>
      <c r="E39" s="2312"/>
      <c r="F39" s="2310"/>
      <c r="G39" s="621"/>
      <c r="H39" s="621"/>
      <c r="I39" s="2313"/>
      <c r="J39" s="2314"/>
      <c r="K39" s="2310"/>
      <c r="L39" s="1999" t="s">
        <v>183</v>
      </c>
      <c r="M39" s="847">
        <v>2</v>
      </c>
      <c r="N39" s="1326" t="s">
        <v>108</v>
      </c>
      <c r="O39" s="505">
        <v>300000</v>
      </c>
      <c r="P39" s="562">
        <f>O39*M39</f>
        <v>600000</v>
      </c>
      <c r="Q39" s="847"/>
      <c r="R39" s="1326"/>
      <c r="S39" s="505"/>
      <c r="T39" s="562">
        <f>S39*Q39</f>
        <v>0</v>
      </c>
      <c r="U39" s="428">
        <f>SUM(T39)-P39</f>
        <v>-600000</v>
      </c>
      <c r="V39" s="439">
        <f>U39/P39*100</f>
        <v>-100</v>
      </c>
    </row>
    <row r="40" spans="2:22" x14ac:dyDescent="0.25">
      <c r="B40" s="620"/>
      <c r="C40" s="2310"/>
      <c r="D40" s="2310"/>
      <c r="E40" s="2312"/>
      <c r="F40" s="2310"/>
      <c r="G40" s="621"/>
      <c r="H40" s="621"/>
      <c r="I40" s="2313"/>
      <c r="J40" s="2314"/>
      <c r="K40" s="2310"/>
      <c r="L40" s="2000" t="s">
        <v>184</v>
      </c>
      <c r="M40" s="847">
        <v>2</v>
      </c>
      <c r="N40" s="1326" t="s">
        <v>150</v>
      </c>
      <c r="O40" s="505">
        <v>300000</v>
      </c>
      <c r="P40" s="562">
        <f>O40*M40</f>
        <v>600000</v>
      </c>
      <c r="Q40" s="847"/>
      <c r="R40" s="1326"/>
      <c r="S40" s="505"/>
      <c r="T40" s="562">
        <f>S40*Q40</f>
        <v>0</v>
      </c>
      <c r="U40" s="2097"/>
      <c r="V40" s="761"/>
    </row>
    <row r="41" spans="2:22" x14ac:dyDescent="0.25">
      <c r="B41" s="620"/>
      <c r="C41" s="2310"/>
      <c r="D41" s="2310"/>
      <c r="E41" s="2347"/>
      <c r="F41" s="2347"/>
      <c r="G41" s="623"/>
      <c r="H41" s="623"/>
      <c r="I41" s="621"/>
      <c r="J41" s="2310"/>
      <c r="K41" s="621"/>
      <c r="L41" s="2001" t="s">
        <v>185</v>
      </c>
      <c r="M41" s="847">
        <v>2</v>
      </c>
      <c r="N41" s="1326" t="s">
        <v>150</v>
      </c>
      <c r="O41" s="505">
        <v>300000</v>
      </c>
      <c r="P41" s="562">
        <f>O41*M41</f>
        <v>600000</v>
      </c>
      <c r="Q41" s="847"/>
      <c r="R41" s="1326"/>
      <c r="S41" s="505"/>
      <c r="T41" s="562">
        <f>S41*Q41</f>
        <v>0</v>
      </c>
      <c r="U41" s="428">
        <f>SUM(T41)-P41</f>
        <v>-600000</v>
      </c>
      <c r="V41" s="761"/>
    </row>
    <row r="42" spans="2:22" x14ac:dyDescent="0.25">
      <c r="B42" s="620"/>
      <c r="C42" s="2310"/>
      <c r="D42" s="2310"/>
      <c r="E42" s="2347"/>
      <c r="F42" s="2347"/>
      <c r="G42" s="623"/>
      <c r="H42" s="623"/>
      <c r="I42" s="621"/>
      <c r="J42" s="2310"/>
      <c r="K42" s="2310"/>
      <c r="L42" s="1999" t="s">
        <v>186</v>
      </c>
      <c r="M42" s="847">
        <v>2</v>
      </c>
      <c r="N42" s="1326" t="s">
        <v>150</v>
      </c>
      <c r="O42" s="505">
        <v>100000</v>
      </c>
      <c r="P42" s="562">
        <f>O42*M42</f>
        <v>200000</v>
      </c>
      <c r="Q42" s="847"/>
      <c r="R42" s="1326"/>
      <c r="S42" s="505"/>
      <c r="T42" s="562">
        <f>S42*Q42</f>
        <v>0</v>
      </c>
      <c r="U42" s="428">
        <f>SUM(T42)-P42</f>
        <v>-200000</v>
      </c>
      <c r="V42" s="761"/>
    </row>
    <row r="43" spans="2:22" x14ac:dyDescent="0.25">
      <c r="B43" s="620"/>
      <c r="C43" s="2310"/>
      <c r="D43" s="2310"/>
      <c r="E43" s="2312"/>
      <c r="F43" s="2312"/>
      <c r="G43" s="621"/>
      <c r="H43" s="621"/>
      <c r="I43" s="2313"/>
      <c r="J43" s="2314"/>
      <c r="K43" s="2310"/>
      <c r="L43" s="2002" t="s">
        <v>1219</v>
      </c>
      <c r="M43" s="847">
        <f>45*2</f>
        <v>90</v>
      </c>
      <c r="N43" s="1326" t="s">
        <v>150</v>
      </c>
      <c r="O43" s="505">
        <v>50000</v>
      </c>
      <c r="P43" s="562">
        <f>O43*M43</f>
        <v>4500000</v>
      </c>
      <c r="Q43" s="847"/>
      <c r="R43" s="1326"/>
      <c r="S43" s="505"/>
      <c r="T43" s="562">
        <f>S43*Q43</f>
        <v>0</v>
      </c>
      <c r="U43" s="428">
        <f>SUM(T43)-P43</f>
        <v>-4500000</v>
      </c>
      <c r="V43" s="761"/>
    </row>
    <row r="44" spans="2:22" x14ac:dyDescent="0.25">
      <c r="B44" s="620"/>
      <c r="C44" s="2310"/>
      <c r="D44" s="2310"/>
      <c r="E44" s="2312"/>
      <c r="F44" s="2310"/>
      <c r="G44" s="621"/>
      <c r="H44" s="621"/>
      <c r="I44" s="2313"/>
      <c r="J44" s="2314"/>
      <c r="K44" s="2310"/>
      <c r="L44" s="2003"/>
      <c r="M44" s="847"/>
      <c r="N44" s="1326"/>
      <c r="O44" s="505"/>
      <c r="P44" s="562"/>
      <c r="Q44" s="847"/>
      <c r="R44" s="1326"/>
      <c r="S44" s="505"/>
      <c r="T44" s="562"/>
      <c r="U44" s="428">
        <f>SUM(T44)-P44</f>
        <v>0</v>
      </c>
      <c r="V44" s="761"/>
    </row>
    <row r="45" spans="2:22" x14ac:dyDescent="0.25">
      <c r="B45" s="654">
        <v>1</v>
      </c>
      <c r="C45" s="564" t="s">
        <v>239</v>
      </c>
      <c r="D45" s="564" t="s">
        <v>84</v>
      </c>
      <c r="E45" s="827">
        <v>17</v>
      </c>
      <c r="F45" s="798" t="s">
        <v>84</v>
      </c>
      <c r="G45" s="623">
        <v>5</v>
      </c>
      <c r="H45" s="623">
        <v>2</v>
      </c>
      <c r="I45" s="621">
        <v>2</v>
      </c>
      <c r="J45" s="621"/>
      <c r="K45" s="621"/>
      <c r="L45" s="2348" t="s">
        <v>64</v>
      </c>
      <c r="M45" s="850"/>
      <c r="N45" s="1917"/>
      <c r="O45" s="1918"/>
      <c r="P45" s="1931">
        <f>P46+P54+P59+P66</f>
        <v>8062600</v>
      </c>
      <c r="Q45" s="850"/>
      <c r="R45" s="1917"/>
      <c r="S45" s="1918"/>
      <c r="T45" s="1931">
        <f>T46+T54+T59+T66</f>
        <v>0</v>
      </c>
      <c r="U45" s="2097"/>
      <c r="V45" s="761"/>
    </row>
    <row r="46" spans="2:22" x14ac:dyDescent="0.25">
      <c r="B46" s="654">
        <v>1</v>
      </c>
      <c r="C46" s="564" t="s">
        <v>239</v>
      </c>
      <c r="D46" s="564" t="s">
        <v>84</v>
      </c>
      <c r="E46" s="827">
        <v>17</v>
      </c>
      <c r="F46" s="798" t="s">
        <v>84</v>
      </c>
      <c r="G46" s="623">
        <v>5</v>
      </c>
      <c r="H46" s="623">
        <v>2</v>
      </c>
      <c r="I46" s="623">
        <v>2</v>
      </c>
      <c r="J46" s="2310" t="s">
        <v>84</v>
      </c>
      <c r="K46" s="621"/>
      <c r="L46" s="2009" t="s">
        <v>55</v>
      </c>
      <c r="M46" s="850"/>
      <c r="N46" s="1914"/>
      <c r="O46" s="1915"/>
      <c r="P46" s="1931">
        <f>P47</f>
        <v>467800</v>
      </c>
      <c r="Q46" s="850"/>
      <c r="R46" s="1914"/>
      <c r="S46" s="1915"/>
      <c r="T46" s="1931">
        <f>T47</f>
        <v>0</v>
      </c>
      <c r="U46" s="428">
        <f>SUM(T46)-P46</f>
        <v>-467800</v>
      </c>
      <c r="V46" s="643">
        <f>U46/P46*100</f>
        <v>-100</v>
      </c>
    </row>
    <row r="47" spans="2:22" x14ac:dyDescent="0.25">
      <c r="B47" s="654">
        <v>1</v>
      </c>
      <c r="C47" s="564" t="s">
        <v>239</v>
      </c>
      <c r="D47" s="564" t="s">
        <v>84</v>
      </c>
      <c r="E47" s="827">
        <v>17</v>
      </c>
      <c r="F47" s="798" t="s">
        <v>84</v>
      </c>
      <c r="G47" s="623">
        <v>5</v>
      </c>
      <c r="H47" s="623">
        <v>2</v>
      </c>
      <c r="I47" s="623">
        <v>2</v>
      </c>
      <c r="J47" s="2310" t="s">
        <v>84</v>
      </c>
      <c r="K47" s="2310" t="s">
        <v>84</v>
      </c>
      <c r="L47" s="1916" t="s">
        <v>70</v>
      </c>
      <c r="M47" s="850"/>
      <c r="N47" s="1917"/>
      <c r="O47" s="1918"/>
      <c r="P47" s="562">
        <f>SUM(P48:P52)</f>
        <v>467800</v>
      </c>
      <c r="Q47" s="850"/>
      <c r="R47" s="1917"/>
      <c r="S47" s="1918"/>
      <c r="T47" s="562">
        <f>SUM(T48:T52)</f>
        <v>0</v>
      </c>
      <c r="U47" s="428">
        <f>SUM(T47)-P47</f>
        <v>-467800</v>
      </c>
      <c r="V47" s="439">
        <f>U47/P47*100</f>
        <v>-100</v>
      </c>
    </row>
    <row r="48" spans="2:22" x14ac:dyDescent="0.25">
      <c r="B48" s="620"/>
      <c r="C48" s="2310"/>
      <c r="D48" s="2310"/>
      <c r="E48" s="2312"/>
      <c r="F48" s="2312"/>
      <c r="G48" s="621"/>
      <c r="H48" s="621"/>
      <c r="I48" s="621"/>
      <c r="J48" s="2310"/>
      <c r="K48" s="2310"/>
      <c r="L48" s="2010" t="s">
        <v>1031</v>
      </c>
      <c r="M48" s="858">
        <v>60</v>
      </c>
      <c r="N48" s="1326" t="s">
        <v>71</v>
      </c>
      <c r="O48" s="505">
        <v>3130</v>
      </c>
      <c r="P48" s="562">
        <f>O48*M48</f>
        <v>187800</v>
      </c>
      <c r="Q48" s="858"/>
      <c r="R48" s="1326"/>
      <c r="S48" s="505"/>
      <c r="T48" s="562">
        <f>S48*Q48</f>
        <v>0</v>
      </c>
      <c r="U48" s="428">
        <f>SUM(T48)-P48</f>
        <v>-187800</v>
      </c>
      <c r="V48" s="761"/>
    </row>
    <row r="49" spans="2:22" x14ac:dyDescent="0.25">
      <c r="B49" s="620"/>
      <c r="C49" s="2310"/>
      <c r="D49" s="2310"/>
      <c r="E49" s="2312"/>
      <c r="F49" s="2312"/>
      <c r="G49" s="621"/>
      <c r="H49" s="621"/>
      <c r="I49" s="621"/>
      <c r="J49" s="2310"/>
      <c r="K49" s="2310"/>
      <c r="L49" s="2010" t="s">
        <v>1220</v>
      </c>
      <c r="M49" s="858">
        <v>3</v>
      </c>
      <c r="N49" s="1326" t="s">
        <v>151</v>
      </c>
      <c r="O49" s="505">
        <v>20000</v>
      </c>
      <c r="P49" s="562">
        <f>O49*M49</f>
        <v>60000</v>
      </c>
      <c r="Q49" s="858"/>
      <c r="R49" s="1326"/>
      <c r="S49" s="505"/>
      <c r="T49" s="562">
        <f>S49*Q49</f>
        <v>0</v>
      </c>
      <c r="U49" s="428">
        <f>SUM(T49)-P49</f>
        <v>-60000</v>
      </c>
      <c r="V49" s="643"/>
    </row>
    <row r="50" spans="2:22" x14ac:dyDescent="0.25">
      <c r="B50" s="620"/>
      <c r="C50" s="2310"/>
      <c r="D50" s="2310"/>
      <c r="E50" s="2312"/>
      <c r="F50" s="2312"/>
      <c r="G50" s="621"/>
      <c r="H50" s="621"/>
      <c r="I50" s="621"/>
      <c r="J50" s="2310"/>
      <c r="K50" s="2310"/>
      <c r="L50" s="2010" t="s">
        <v>1221</v>
      </c>
      <c r="M50" s="858">
        <v>4</v>
      </c>
      <c r="N50" s="1326" t="s">
        <v>59</v>
      </c>
      <c r="O50" s="505">
        <v>43700</v>
      </c>
      <c r="P50" s="562">
        <f>O50*M50</f>
        <v>174800</v>
      </c>
      <c r="Q50" s="858"/>
      <c r="R50" s="1326"/>
      <c r="S50" s="505"/>
      <c r="T50" s="562">
        <f>S50*Q50</f>
        <v>0</v>
      </c>
      <c r="U50" s="2097"/>
      <c r="V50" s="761"/>
    </row>
    <row r="51" spans="2:22" x14ac:dyDescent="0.25">
      <c r="B51" s="620"/>
      <c r="C51" s="2310"/>
      <c r="D51" s="2310"/>
      <c r="E51" s="2312"/>
      <c r="F51" s="2312"/>
      <c r="G51" s="621"/>
      <c r="H51" s="621"/>
      <c r="I51" s="621"/>
      <c r="J51" s="2310"/>
      <c r="K51" s="2310"/>
      <c r="L51" s="2010" t="s">
        <v>1222</v>
      </c>
      <c r="M51" s="858">
        <v>3</v>
      </c>
      <c r="N51" s="1326" t="s">
        <v>151</v>
      </c>
      <c r="O51" s="505">
        <v>2500</v>
      </c>
      <c r="P51" s="562">
        <f>O51*M51</f>
        <v>7500</v>
      </c>
      <c r="Q51" s="858"/>
      <c r="R51" s="1326"/>
      <c r="S51" s="505"/>
      <c r="T51" s="562">
        <f>S51*Q51</f>
        <v>0</v>
      </c>
      <c r="U51" s="2097"/>
      <c r="V51" s="761"/>
    </row>
    <row r="52" spans="2:22" x14ac:dyDescent="0.25">
      <c r="B52" s="620"/>
      <c r="C52" s="2310"/>
      <c r="D52" s="2310"/>
      <c r="E52" s="2312"/>
      <c r="F52" s="2312"/>
      <c r="G52" s="621"/>
      <c r="H52" s="621"/>
      <c r="I52" s="621"/>
      <c r="J52" s="2310"/>
      <c r="K52" s="2310"/>
      <c r="L52" s="2010" t="s">
        <v>1223</v>
      </c>
      <c r="M52" s="858">
        <v>2</v>
      </c>
      <c r="N52" s="1326" t="s">
        <v>71</v>
      </c>
      <c r="O52" s="505">
        <v>18850</v>
      </c>
      <c r="P52" s="562">
        <f>O52*M52</f>
        <v>37700</v>
      </c>
      <c r="Q52" s="858"/>
      <c r="R52" s="1326"/>
      <c r="S52" s="505"/>
      <c r="T52" s="562">
        <f>S52*Q52</f>
        <v>0</v>
      </c>
      <c r="U52" s="428">
        <f>SUM(T52)-P52</f>
        <v>-37700</v>
      </c>
      <c r="V52" s="761"/>
    </row>
    <row r="53" spans="2:22" x14ac:dyDescent="0.25">
      <c r="B53" s="486"/>
      <c r="C53" s="487"/>
      <c r="D53" s="487"/>
      <c r="E53" s="1932"/>
      <c r="F53" s="487"/>
      <c r="G53" s="489"/>
      <c r="H53" s="489"/>
      <c r="I53" s="489"/>
      <c r="J53" s="489"/>
      <c r="K53" s="487"/>
      <c r="L53" s="501"/>
      <c r="M53" s="859"/>
      <c r="N53" s="499"/>
      <c r="O53" s="477"/>
      <c r="P53" s="559"/>
      <c r="Q53" s="859"/>
      <c r="R53" s="499"/>
      <c r="S53" s="477"/>
      <c r="T53" s="559"/>
      <c r="U53" s="428">
        <f>SUM(T53)-P53</f>
        <v>0</v>
      </c>
      <c r="V53" s="761"/>
    </row>
    <row r="54" spans="2:22" x14ac:dyDescent="0.25">
      <c r="B54" s="654">
        <v>1</v>
      </c>
      <c r="C54" s="564" t="s">
        <v>239</v>
      </c>
      <c r="D54" s="564" t="s">
        <v>84</v>
      </c>
      <c r="E54" s="827">
        <v>17</v>
      </c>
      <c r="F54" s="798" t="s">
        <v>84</v>
      </c>
      <c r="G54" s="473">
        <v>5</v>
      </c>
      <c r="H54" s="473">
        <v>2</v>
      </c>
      <c r="I54" s="473">
        <v>2</v>
      </c>
      <c r="J54" s="487" t="s">
        <v>97</v>
      </c>
      <c r="K54" s="489"/>
      <c r="L54" s="2009" t="s">
        <v>57</v>
      </c>
      <c r="M54" s="850"/>
      <c r="N54" s="1914"/>
      <c r="O54" s="1915"/>
      <c r="P54" s="1931">
        <f>P55</f>
        <v>2680000</v>
      </c>
      <c r="Q54" s="850"/>
      <c r="R54" s="1914"/>
      <c r="S54" s="1915"/>
      <c r="T54" s="1931">
        <f>T55</f>
        <v>0</v>
      </c>
      <c r="U54" s="428">
        <f>SUM(T54)-P54</f>
        <v>-2680000</v>
      </c>
      <c r="V54" s="761"/>
    </row>
    <row r="55" spans="2:22" x14ac:dyDescent="0.25">
      <c r="B55" s="654">
        <v>1</v>
      </c>
      <c r="C55" s="564" t="s">
        <v>239</v>
      </c>
      <c r="D55" s="564" t="s">
        <v>84</v>
      </c>
      <c r="E55" s="827">
        <v>17</v>
      </c>
      <c r="F55" s="798" t="s">
        <v>84</v>
      </c>
      <c r="G55" s="473">
        <v>5</v>
      </c>
      <c r="H55" s="473">
        <v>2</v>
      </c>
      <c r="I55" s="473">
        <v>2</v>
      </c>
      <c r="J55" s="487" t="s">
        <v>97</v>
      </c>
      <c r="K55" s="487">
        <v>27</v>
      </c>
      <c r="L55" s="2008" t="s">
        <v>229</v>
      </c>
      <c r="M55" s="859"/>
      <c r="N55" s="500"/>
      <c r="O55" s="559"/>
      <c r="P55" s="559">
        <f>SUM(P56:P57)</f>
        <v>2680000</v>
      </c>
      <c r="Q55" s="859"/>
      <c r="R55" s="500"/>
      <c r="S55" s="559"/>
      <c r="T55" s="559">
        <f>SUM(T56:T57)</f>
        <v>0</v>
      </c>
      <c r="U55" s="428">
        <f>SUM(T55)-P55</f>
        <v>-2680000</v>
      </c>
      <c r="V55" s="761"/>
    </row>
    <row r="56" spans="2:22" ht="14.25" customHeight="1" x14ac:dyDescent="0.25">
      <c r="B56" s="486"/>
      <c r="C56" s="487"/>
      <c r="D56" s="487"/>
      <c r="E56" s="1932"/>
      <c r="F56" s="487"/>
      <c r="G56" s="489"/>
      <c r="H56" s="489"/>
      <c r="I56" s="489"/>
      <c r="J56" s="489"/>
      <c r="K56" s="487"/>
      <c r="L56" s="2003" t="s">
        <v>1224</v>
      </c>
      <c r="M56" s="847">
        <f>2*1*4</f>
        <v>8</v>
      </c>
      <c r="N56" s="1326" t="s">
        <v>728</v>
      </c>
      <c r="O56" s="505">
        <v>300000</v>
      </c>
      <c r="P56" s="562">
        <f>O56*M56</f>
        <v>2400000</v>
      </c>
      <c r="Q56" s="847"/>
      <c r="R56" s="1326"/>
      <c r="S56" s="505"/>
      <c r="T56" s="562">
        <f>S56*Q56</f>
        <v>0</v>
      </c>
      <c r="U56" s="2097"/>
      <c r="V56" s="761"/>
    </row>
    <row r="57" spans="2:22" x14ac:dyDescent="0.25">
      <c r="B57" s="486"/>
      <c r="C57" s="487"/>
      <c r="D57" s="487"/>
      <c r="E57" s="1932"/>
      <c r="F57" s="487"/>
      <c r="G57" s="489"/>
      <c r="H57" s="489"/>
      <c r="I57" s="489"/>
      <c r="J57" s="489"/>
      <c r="K57" s="487"/>
      <c r="L57" s="2003" t="s">
        <v>1225</v>
      </c>
      <c r="M57" s="847">
        <f>2*1*4</f>
        <v>8</v>
      </c>
      <c r="N57" s="1326" t="s">
        <v>454</v>
      </c>
      <c r="O57" s="505">
        <v>35000</v>
      </c>
      <c r="P57" s="562">
        <f>O57*M57</f>
        <v>280000</v>
      </c>
      <c r="Q57" s="847"/>
      <c r="R57" s="1326"/>
      <c r="S57" s="505"/>
      <c r="T57" s="562">
        <f>S57*Q57</f>
        <v>0</v>
      </c>
      <c r="U57" s="2097"/>
      <c r="V57" s="761"/>
    </row>
    <row r="58" spans="2:22" ht="13.5" customHeight="1" x14ac:dyDescent="0.25">
      <c r="B58" s="486"/>
      <c r="C58" s="487"/>
      <c r="D58" s="487"/>
      <c r="E58" s="1932"/>
      <c r="F58" s="487"/>
      <c r="G58" s="489"/>
      <c r="H58" s="489"/>
      <c r="I58" s="489"/>
      <c r="J58" s="489"/>
      <c r="K58" s="487"/>
      <c r="L58" s="507"/>
      <c r="M58" s="859"/>
      <c r="N58" s="500"/>
      <c r="O58" s="559"/>
      <c r="P58" s="559"/>
      <c r="Q58" s="859"/>
      <c r="R58" s="500"/>
      <c r="S58" s="559"/>
      <c r="T58" s="559"/>
      <c r="U58" s="428">
        <f>SUM(T58)-P58</f>
        <v>0</v>
      </c>
      <c r="V58" s="761"/>
    </row>
    <row r="59" spans="2:22" ht="13.5" customHeight="1" x14ac:dyDescent="0.25">
      <c r="B59" s="654">
        <v>1</v>
      </c>
      <c r="C59" s="564" t="s">
        <v>239</v>
      </c>
      <c r="D59" s="564" t="s">
        <v>84</v>
      </c>
      <c r="E59" s="827">
        <v>17</v>
      </c>
      <c r="F59" s="798" t="s">
        <v>84</v>
      </c>
      <c r="G59" s="473">
        <v>5</v>
      </c>
      <c r="H59" s="473">
        <v>2</v>
      </c>
      <c r="I59" s="473">
        <v>2</v>
      </c>
      <c r="J59" s="487" t="s">
        <v>86</v>
      </c>
      <c r="K59" s="489"/>
      <c r="L59" s="2009" t="s">
        <v>60</v>
      </c>
      <c r="M59" s="850"/>
      <c r="N59" s="1914"/>
      <c r="O59" s="1915"/>
      <c r="P59" s="1931">
        <f>SUM(P60+P63)</f>
        <v>1494800</v>
      </c>
      <c r="Q59" s="850"/>
      <c r="R59" s="1914"/>
      <c r="S59" s="1915"/>
      <c r="T59" s="1931">
        <f>SUM(T60+T63)</f>
        <v>0</v>
      </c>
      <c r="U59" s="428">
        <f>SUM(T59)-P59</f>
        <v>-1494800</v>
      </c>
      <c r="V59" s="761"/>
    </row>
    <row r="60" spans="2:22" ht="13.5" customHeight="1" x14ac:dyDescent="0.25">
      <c r="B60" s="654">
        <v>1</v>
      </c>
      <c r="C60" s="564" t="s">
        <v>239</v>
      </c>
      <c r="D60" s="564" t="s">
        <v>84</v>
      </c>
      <c r="E60" s="827">
        <v>17</v>
      </c>
      <c r="F60" s="798" t="s">
        <v>84</v>
      </c>
      <c r="G60" s="473">
        <v>5</v>
      </c>
      <c r="H60" s="473">
        <v>2</v>
      </c>
      <c r="I60" s="473">
        <v>2</v>
      </c>
      <c r="J60" s="487" t="s">
        <v>86</v>
      </c>
      <c r="K60" s="487" t="s">
        <v>84</v>
      </c>
      <c r="L60" s="1916" t="s">
        <v>453</v>
      </c>
      <c r="M60" s="850"/>
      <c r="N60" s="1917"/>
      <c r="O60" s="1918"/>
      <c r="P60" s="562">
        <f>SUM(P61:P62)</f>
        <v>802500</v>
      </c>
      <c r="Q60" s="850"/>
      <c r="R60" s="1917"/>
      <c r="S60" s="1918"/>
      <c r="T60" s="562">
        <f>SUM(T61:T62)</f>
        <v>0</v>
      </c>
      <c r="U60" s="428">
        <f>SUM(T60)-P60</f>
        <v>-802500</v>
      </c>
      <c r="V60" s="761"/>
    </row>
    <row r="61" spans="2:22" ht="13.5" customHeight="1" x14ac:dyDescent="0.25">
      <c r="B61" s="510"/>
      <c r="C61" s="513"/>
      <c r="D61" s="513"/>
      <c r="E61" s="513"/>
      <c r="F61" s="513"/>
      <c r="G61" s="513"/>
      <c r="H61" s="473"/>
      <c r="I61" s="1674"/>
      <c r="J61" s="2335"/>
      <c r="K61" s="506"/>
      <c r="L61" s="2010" t="s">
        <v>230</v>
      </c>
      <c r="M61" s="850">
        <v>45</v>
      </c>
      <c r="N61" s="1326" t="s">
        <v>231</v>
      </c>
      <c r="O61" s="2011">
        <v>12500</v>
      </c>
      <c r="P61" s="559">
        <f>O61*M61</f>
        <v>562500</v>
      </c>
      <c r="Q61" s="850"/>
      <c r="R61" s="1326"/>
      <c r="S61" s="2011"/>
      <c r="T61" s="559">
        <f>S61*Q61</f>
        <v>0</v>
      </c>
      <c r="U61" s="2097"/>
      <c r="V61" s="761"/>
    </row>
    <row r="62" spans="2:22" ht="13.5" customHeight="1" x14ac:dyDescent="0.25">
      <c r="B62" s="510"/>
      <c r="C62" s="513"/>
      <c r="D62" s="513"/>
      <c r="E62" s="513"/>
      <c r="F62" s="513"/>
      <c r="G62" s="513"/>
      <c r="H62" s="473"/>
      <c r="I62" s="1674"/>
      <c r="J62" s="2335"/>
      <c r="K62" s="506"/>
      <c r="L62" s="1785" t="s">
        <v>1226</v>
      </c>
      <c r="M62" s="861">
        <v>4</v>
      </c>
      <c r="N62" s="508" t="s">
        <v>1096</v>
      </c>
      <c r="O62" s="509">
        <v>60000</v>
      </c>
      <c r="P62" s="559">
        <f>O62*M62</f>
        <v>240000</v>
      </c>
      <c r="Q62" s="861"/>
      <c r="R62" s="508"/>
      <c r="S62" s="509"/>
      <c r="T62" s="559">
        <f>S62*Q62</f>
        <v>0</v>
      </c>
      <c r="U62" s="2097"/>
      <c r="V62" s="761"/>
    </row>
    <row r="63" spans="2:22" ht="13.5" customHeight="1" x14ac:dyDescent="0.25">
      <c r="B63" s="654">
        <v>1</v>
      </c>
      <c r="C63" s="564" t="s">
        <v>239</v>
      </c>
      <c r="D63" s="564" t="s">
        <v>84</v>
      </c>
      <c r="E63" s="827">
        <v>17</v>
      </c>
      <c r="F63" s="798" t="s">
        <v>84</v>
      </c>
      <c r="G63" s="473">
        <v>5</v>
      </c>
      <c r="H63" s="473">
        <v>2</v>
      </c>
      <c r="I63" s="473">
        <v>2</v>
      </c>
      <c r="J63" s="487" t="s">
        <v>86</v>
      </c>
      <c r="K63" s="487" t="s">
        <v>87</v>
      </c>
      <c r="L63" s="1916" t="s">
        <v>65</v>
      </c>
      <c r="M63" s="850"/>
      <c r="N63" s="1917"/>
      <c r="O63" s="1918"/>
      <c r="P63" s="562">
        <f>SUM(P64:P64)</f>
        <v>692300</v>
      </c>
      <c r="Q63" s="850"/>
      <c r="R63" s="1917"/>
      <c r="S63" s="1918"/>
      <c r="T63" s="562">
        <f>SUM(T64:T64)</f>
        <v>0</v>
      </c>
      <c r="U63" s="2097"/>
      <c r="V63" s="761"/>
    </row>
    <row r="64" spans="2:22" ht="13.5" customHeight="1" x14ac:dyDescent="0.25">
      <c r="B64" s="486"/>
      <c r="C64" s="487"/>
      <c r="D64" s="487"/>
      <c r="E64" s="1932"/>
      <c r="F64" s="487"/>
      <c r="G64" s="489"/>
      <c r="H64" s="489"/>
      <c r="I64" s="489"/>
      <c r="J64" s="489"/>
      <c r="K64" s="487"/>
      <c r="L64" s="2012" t="s">
        <v>652</v>
      </c>
      <c r="M64" s="859">
        <v>1978</v>
      </c>
      <c r="N64" s="499" t="s">
        <v>58</v>
      </c>
      <c r="O64" s="477">
        <v>350</v>
      </c>
      <c r="P64" s="559">
        <f>O64*M64</f>
        <v>692300</v>
      </c>
      <c r="Q64" s="859"/>
      <c r="R64" s="499"/>
      <c r="S64" s="477"/>
      <c r="T64" s="559">
        <f>S64*Q64</f>
        <v>0</v>
      </c>
      <c r="U64" s="2097"/>
      <c r="V64" s="761"/>
    </row>
    <row r="65" spans="2:23" ht="13.5" customHeight="1" x14ac:dyDescent="0.25">
      <c r="B65" s="486"/>
      <c r="C65" s="487"/>
      <c r="D65" s="487"/>
      <c r="E65" s="1932"/>
      <c r="F65" s="487"/>
      <c r="G65" s="489"/>
      <c r="H65" s="489"/>
      <c r="I65" s="489"/>
      <c r="J65" s="489"/>
      <c r="K65" s="487"/>
      <c r="L65" s="1759"/>
      <c r="M65" s="859"/>
      <c r="N65" s="499"/>
      <c r="O65" s="477"/>
      <c r="P65" s="559"/>
      <c r="Q65" s="859"/>
      <c r="R65" s="499"/>
      <c r="S65" s="477"/>
      <c r="T65" s="559"/>
      <c r="U65" s="2097"/>
      <c r="V65" s="761"/>
    </row>
    <row r="66" spans="2:23" ht="13.5" customHeight="1" x14ac:dyDescent="0.25">
      <c r="B66" s="654">
        <v>1</v>
      </c>
      <c r="C66" s="564" t="s">
        <v>239</v>
      </c>
      <c r="D66" s="564" t="s">
        <v>84</v>
      </c>
      <c r="E66" s="827">
        <v>17</v>
      </c>
      <c r="F66" s="798" t="s">
        <v>84</v>
      </c>
      <c r="G66" s="473">
        <v>5</v>
      </c>
      <c r="H66" s="473">
        <v>2</v>
      </c>
      <c r="I66" s="473">
        <v>2</v>
      </c>
      <c r="J66" s="487">
        <v>11</v>
      </c>
      <c r="K66" s="489"/>
      <c r="L66" s="2009" t="s">
        <v>187</v>
      </c>
      <c r="M66" s="850"/>
      <c r="N66" s="1914"/>
      <c r="O66" s="1915"/>
      <c r="P66" s="1931">
        <f>P67</f>
        <v>3420000</v>
      </c>
      <c r="Q66" s="850"/>
      <c r="R66" s="1914"/>
      <c r="S66" s="1915"/>
      <c r="T66" s="1931">
        <f>T67</f>
        <v>0</v>
      </c>
      <c r="U66" s="2097"/>
      <c r="V66" s="761"/>
    </row>
    <row r="67" spans="2:23" ht="13.5" customHeight="1" x14ac:dyDescent="0.25">
      <c r="B67" s="654">
        <v>1</v>
      </c>
      <c r="C67" s="564" t="s">
        <v>239</v>
      </c>
      <c r="D67" s="564" t="s">
        <v>84</v>
      </c>
      <c r="E67" s="827">
        <v>17</v>
      </c>
      <c r="F67" s="798" t="s">
        <v>84</v>
      </c>
      <c r="G67" s="473">
        <v>5</v>
      </c>
      <c r="H67" s="473">
        <v>2</v>
      </c>
      <c r="I67" s="473">
        <v>2</v>
      </c>
      <c r="J67" s="487">
        <v>11</v>
      </c>
      <c r="K67" s="487" t="s">
        <v>101</v>
      </c>
      <c r="L67" s="1916" t="s">
        <v>188</v>
      </c>
      <c r="M67" s="850"/>
      <c r="N67" s="1917"/>
      <c r="O67" s="1918"/>
      <c r="P67" s="562">
        <f>SUM(P68:P69)</f>
        <v>3420000</v>
      </c>
      <c r="Q67" s="850"/>
      <c r="R67" s="1917"/>
      <c r="S67" s="1918"/>
      <c r="T67" s="562">
        <f>SUM(T68:T69)</f>
        <v>0</v>
      </c>
      <c r="U67" s="2097"/>
      <c r="V67" s="761"/>
    </row>
    <row r="68" spans="2:23" ht="13.5" customHeight="1" x14ac:dyDescent="0.25">
      <c r="B68" s="486"/>
      <c r="C68" s="487"/>
      <c r="D68" s="487"/>
      <c r="E68" s="1932"/>
      <c r="F68" s="1932"/>
      <c r="G68" s="489"/>
      <c r="H68" s="489"/>
      <c r="I68" s="489"/>
      <c r="J68" s="487"/>
      <c r="K68" s="487"/>
      <c r="L68" s="2012" t="s">
        <v>1227</v>
      </c>
      <c r="M68" s="859">
        <f>57*2</f>
        <v>114</v>
      </c>
      <c r="N68" s="499" t="s">
        <v>151</v>
      </c>
      <c r="O68" s="477">
        <v>15000</v>
      </c>
      <c r="P68" s="559">
        <f>O68*M68</f>
        <v>1710000</v>
      </c>
      <c r="Q68" s="859"/>
      <c r="R68" s="499"/>
      <c r="S68" s="477"/>
      <c r="T68" s="559">
        <f>S68*Q68</f>
        <v>0</v>
      </c>
      <c r="U68" s="2097"/>
      <c r="V68" s="761"/>
    </row>
    <row r="69" spans="2:23" x14ac:dyDescent="0.25">
      <c r="B69" s="1692"/>
      <c r="C69" s="1693"/>
      <c r="D69" s="1693"/>
      <c r="E69" s="2301"/>
      <c r="F69" s="1693"/>
      <c r="G69" s="1696"/>
      <c r="H69" s="1696"/>
      <c r="I69" s="1696"/>
      <c r="J69" s="1696"/>
      <c r="K69" s="1693"/>
      <c r="L69" s="2349" t="s">
        <v>1228</v>
      </c>
      <c r="M69" s="862">
        <f>57*4</f>
        <v>228</v>
      </c>
      <c r="N69" s="1982" t="s">
        <v>151</v>
      </c>
      <c r="O69" s="2014">
        <v>7500</v>
      </c>
      <c r="P69" s="1688">
        <f>O69*M69</f>
        <v>1710000</v>
      </c>
      <c r="Q69" s="862"/>
      <c r="R69" s="1982"/>
      <c r="S69" s="2014"/>
      <c r="T69" s="1688">
        <f>S69*Q69</f>
        <v>0</v>
      </c>
      <c r="U69" s="2097"/>
      <c r="V69" s="761"/>
    </row>
    <row r="70" spans="2:23" x14ac:dyDescent="0.25">
      <c r="B70" s="47"/>
      <c r="C70" s="6"/>
      <c r="D70" s="6"/>
      <c r="E70" s="645"/>
      <c r="F70" s="645"/>
      <c r="G70" s="646"/>
      <c r="H70" s="646"/>
      <c r="I70" s="116"/>
      <c r="J70" s="6"/>
      <c r="K70" s="6"/>
      <c r="L70" s="1697"/>
      <c r="M70" s="648"/>
      <c r="N70" s="648"/>
      <c r="O70" s="1698"/>
      <c r="P70" s="598"/>
      <c r="Q70" s="650"/>
      <c r="R70" s="650"/>
      <c r="S70" s="1699"/>
      <c r="T70" s="539"/>
      <c r="U70" s="599"/>
      <c r="V70" s="600"/>
    </row>
    <row r="71" spans="2:23" ht="13.5" customHeight="1" thickBot="1" x14ac:dyDescent="0.3">
      <c r="B71" s="2730" t="s">
        <v>15</v>
      </c>
      <c r="C71" s="2731"/>
      <c r="D71" s="2731"/>
      <c r="E71" s="2731"/>
      <c r="F71" s="2731"/>
      <c r="G71" s="2731"/>
      <c r="H71" s="2731"/>
      <c r="I71" s="2731"/>
      <c r="J71" s="2731"/>
      <c r="K71" s="2731"/>
      <c r="L71" s="2731"/>
      <c r="M71" s="2731"/>
      <c r="N71" s="2731"/>
      <c r="O71" s="2731"/>
      <c r="P71" s="436">
        <f>P28</f>
        <v>15312600</v>
      </c>
      <c r="Q71" s="2696"/>
      <c r="R71" s="2697"/>
      <c r="S71" s="2698"/>
      <c r="T71" s="1605">
        <f>T28</f>
        <v>0</v>
      </c>
      <c r="U71" s="438">
        <f>T71-P71</f>
        <v>-15312600</v>
      </c>
      <c r="V71" s="439">
        <f>U71/P71*100</f>
        <v>-100</v>
      </c>
    </row>
    <row r="72" spans="2:23" ht="13" thickTop="1" x14ac:dyDescent="0.25">
      <c r="B72" s="2890"/>
      <c r="C72" s="2891"/>
      <c r="D72" s="2891"/>
      <c r="E72" s="2891"/>
      <c r="F72" s="2891"/>
      <c r="G72" s="2891"/>
      <c r="H72" s="2891"/>
      <c r="I72" s="2891"/>
      <c r="J72" s="2891"/>
      <c r="K72" s="2891"/>
      <c r="L72" s="2891"/>
      <c r="M72" s="2891"/>
      <c r="N72" s="2891"/>
      <c r="O72" s="2891"/>
      <c r="P72" s="2891"/>
      <c r="Q72" s="2891"/>
      <c r="R72" s="2891"/>
      <c r="S72" s="2891"/>
      <c r="T72" s="2891"/>
      <c r="U72" s="2891"/>
      <c r="V72" s="2892"/>
    </row>
    <row r="73" spans="2:23" ht="12.75" customHeight="1" x14ac:dyDescent="0.25">
      <c r="B73" s="440"/>
      <c r="C73" s="20"/>
      <c r="D73" s="20"/>
      <c r="E73" s="20"/>
      <c r="F73" s="20"/>
      <c r="G73" s="20"/>
      <c r="H73" s="20"/>
      <c r="I73" s="20"/>
      <c r="J73" s="20"/>
      <c r="K73" s="20"/>
      <c r="L73" s="21"/>
      <c r="Q73" s="1596"/>
      <c r="S73" s="2351"/>
      <c r="T73" s="2351"/>
      <c r="U73" s="2351"/>
      <c r="V73" s="19"/>
      <c r="W73" s="100"/>
    </row>
    <row r="74" spans="2:23" ht="12.75" customHeight="1" x14ac:dyDescent="0.25">
      <c r="B74" s="440"/>
      <c r="C74" s="20"/>
      <c r="D74" s="20"/>
      <c r="E74" s="20"/>
      <c r="F74" s="20"/>
      <c r="G74" s="20"/>
      <c r="H74" s="20"/>
      <c r="I74" s="20"/>
      <c r="J74" s="20"/>
      <c r="K74" s="20"/>
      <c r="L74" s="21"/>
      <c r="Q74" s="1596"/>
      <c r="S74" s="2702" t="str">
        <f>'Smart Suwarga'!S119:U119</f>
        <v>Banda Aceh,               2020</v>
      </c>
      <c r="T74" s="2702"/>
      <c r="U74" s="2702"/>
      <c r="V74" s="19"/>
      <c r="W74" s="100"/>
    </row>
    <row r="75" spans="2:23" x14ac:dyDescent="0.25">
      <c r="B75" s="440"/>
      <c r="C75" s="20"/>
      <c r="D75" s="20"/>
      <c r="E75" s="20"/>
      <c r="F75" s="20"/>
      <c r="G75" s="20"/>
      <c r="H75" s="20"/>
      <c r="I75" s="20"/>
      <c r="J75" s="20"/>
      <c r="K75" s="20"/>
      <c r="L75" s="1585" t="str">
        <f>'Smart Suwarga'!L120</f>
        <v>Mengesahkan,</v>
      </c>
      <c r="Q75" s="1596"/>
      <c r="S75" s="2703" t="str">
        <f>'Smart Suwarga'!S120:U120</f>
        <v>Pengguna Anggaran</v>
      </c>
      <c r="T75" s="2703"/>
      <c r="U75" s="2703"/>
      <c r="V75" s="44"/>
      <c r="W75" s="22"/>
    </row>
    <row r="76" spans="2:23" ht="12.75" customHeight="1" x14ac:dyDescent="0.25">
      <c r="B76" s="440"/>
      <c r="C76" s="20"/>
      <c r="D76" s="20"/>
      <c r="E76" s="20"/>
      <c r="F76" s="20"/>
      <c r="G76" s="20"/>
      <c r="H76" s="20"/>
      <c r="I76" s="20"/>
      <c r="J76" s="20"/>
      <c r="K76" s="20"/>
      <c r="L76" s="1585" t="str">
        <f>'Smart Suwarga'!L121</f>
        <v>Pejabat Pengelola Keuangan Daerah</v>
      </c>
      <c r="Q76" s="1596"/>
      <c r="S76" s="2703" t="str">
        <f>'Smart Suwarga'!S121:U121</f>
        <v xml:space="preserve"> Satuan Kerja Perangkat Daerah </v>
      </c>
      <c r="T76" s="2703"/>
      <c r="U76" s="2703"/>
      <c r="V76" s="44"/>
      <c r="W76" s="22"/>
    </row>
    <row r="77" spans="2:23" x14ac:dyDescent="0.25">
      <c r="B77" s="440"/>
      <c r="C77" s="20"/>
      <c r="D77" s="20"/>
      <c r="E77" s="20"/>
      <c r="F77" s="20"/>
      <c r="G77" s="20"/>
      <c r="H77" s="20"/>
      <c r="I77" s="20"/>
      <c r="J77" s="20"/>
      <c r="K77" s="20"/>
      <c r="L77" s="1600"/>
      <c r="Q77" s="1596"/>
      <c r="S77" s="113"/>
      <c r="T77" s="101"/>
      <c r="U77" s="101"/>
      <c r="V77" s="111"/>
      <c r="W77" s="102"/>
    </row>
    <row r="78" spans="2:23" x14ac:dyDescent="0.25">
      <c r="B78" s="440"/>
      <c r="C78" s="20"/>
      <c r="D78" s="20"/>
      <c r="E78" s="20"/>
      <c r="F78" s="20"/>
      <c r="G78" s="20"/>
      <c r="H78" s="20"/>
      <c r="I78" s="20"/>
      <c r="J78" s="20"/>
      <c r="K78" s="20"/>
      <c r="L78" s="1600"/>
      <c r="Q78" s="1596"/>
      <c r="S78" s="113"/>
      <c r="T78" s="113"/>
      <c r="U78" s="113"/>
      <c r="V78" s="114"/>
      <c r="W78" s="103"/>
    </row>
    <row r="79" spans="2:23" x14ac:dyDescent="0.25">
      <c r="B79" s="440"/>
      <c r="C79" s="20"/>
      <c r="D79" s="20"/>
      <c r="E79" s="20"/>
      <c r="F79" s="20"/>
      <c r="G79" s="20"/>
      <c r="H79" s="20"/>
      <c r="I79" s="20"/>
      <c r="J79" s="20"/>
      <c r="K79" s="20"/>
      <c r="L79" s="99"/>
      <c r="Q79" s="1596"/>
      <c r="S79" s="113"/>
      <c r="T79" s="101"/>
      <c r="U79" s="101"/>
      <c r="V79" s="111"/>
      <c r="W79" s="102"/>
    </row>
    <row r="80" spans="2:23" ht="14" x14ac:dyDescent="0.3">
      <c r="B80" s="440"/>
      <c r="C80" s="20"/>
      <c r="D80" s="20"/>
      <c r="E80" s="20"/>
      <c r="F80" s="20"/>
      <c r="G80" s="20"/>
      <c r="H80" s="20"/>
      <c r="I80" s="20"/>
      <c r="J80" s="20"/>
      <c r="K80" s="20"/>
      <c r="L80" s="112" t="str">
        <f>'Smart Suwarga'!L125</f>
        <v>M. Iqbal Rokan, S.STP.</v>
      </c>
      <c r="Q80" s="1596"/>
      <c r="S80" s="2704" t="str">
        <f>'Smart Suwarga'!S125:U125</f>
        <v>Bustami, SH</v>
      </c>
      <c r="T80" s="2704"/>
      <c r="U80" s="2704"/>
      <c r="V80" s="45"/>
      <c r="W80" s="104"/>
    </row>
    <row r="81" spans="2:23" x14ac:dyDescent="0.25">
      <c r="B81" s="440"/>
      <c r="C81" s="20"/>
      <c r="D81" s="20"/>
      <c r="E81" s="20"/>
      <c r="F81" s="20"/>
      <c r="G81" s="20"/>
      <c r="H81" s="20"/>
      <c r="I81" s="20"/>
      <c r="J81" s="20"/>
      <c r="K81" s="20"/>
      <c r="L81" s="1585" t="str">
        <f>'Smart Suwarga'!L126</f>
        <v>Nip. 19780505 199810 1 001</v>
      </c>
      <c r="Q81" s="1596"/>
      <c r="S81" s="2703" t="str">
        <f>'Smart Suwarga'!S126:U126</f>
        <v>Pembina Utama Muda / Nip. 196308241987031004</v>
      </c>
      <c r="T81" s="2703"/>
      <c r="U81" s="2703"/>
      <c r="V81" s="44"/>
      <c r="W81" s="22"/>
    </row>
    <row r="82" spans="2:23" x14ac:dyDescent="0.25">
      <c r="B82" s="440"/>
      <c r="C82" s="20"/>
      <c r="D82" s="20"/>
      <c r="E82" s="20"/>
      <c r="F82" s="20"/>
      <c r="G82" s="20"/>
      <c r="H82" s="20"/>
      <c r="I82" s="20"/>
      <c r="J82" s="20"/>
      <c r="K82" s="20"/>
      <c r="L82" s="1585"/>
      <c r="Q82" s="1596"/>
      <c r="S82" s="1585"/>
      <c r="T82" s="1585"/>
      <c r="U82" s="1585"/>
      <c r="V82" s="441"/>
      <c r="W82" s="21"/>
    </row>
    <row r="83" spans="2:23" ht="14.25" customHeight="1" x14ac:dyDescent="0.25">
      <c r="B83" s="2705" t="s">
        <v>286</v>
      </c>
      <c r="C83" s="2706"/>
      <c r="D83" s="2706"/>
      <c r="E83" s="2706"/>
      <c r="F83" s="2706"/>
      <c r="G83" s="2706"/>
      <c r="H83" s="2706"/>
      <c r="I83" s="2706"/>
      <c r="J83" s="2706"/>
      <c r="K83" s="2706"/>
      <c r="L83" s="2706"/>
      <c r="M83" s="2707" t="s">
        <v>145</v>
      </c>
      <c r="N83" s="2708"/>
      <c r="O83" s="2708"/>
      <c r="P83" s="2708"/>
      <c r="Q83" s="2708"/>
      <c r="R83" s="2708"/>
      <c r="S83" s="2708"/>
      <c r="T83" s="2708"/>
      <c r="U83" s="2708"/>
      <c r="V83" s="2709"/>
    </row>
    <row r="84" spans="2:23" ht="14.25" customHeight="1" x14ac:dyDescent="0.3">
      <c r="B84" s="2710"/>
      <c r="C84" s="2711"/>
      <c r="D84" s="2711"/>
      <c r="E84" s="2711"/>
      <c r="F84" s="2711"/>
      <c r="G84" s="2711"/>
      <c r="H84" s="2711"/>
      <c r="I84" s="2711"/>
      <c r="J84" s="2711"/>
      <c r="K84" s="2711"/>
      <c r="L84" s="2712"/>
      <c r="M84" s="1586" t="s">
        <v>142</v>
      </c>
      <c r="N84" s="2713"/>
      <c r="O84" s="2713"/>
      <c r="P84" s="2713"/>
      <c r="Q84" s="2714" t="s">
        <v>143</v>
      </c>
      <c r="R84" s="2714"/>
      <c r="S84" s="2714"/>
      <c r="T84" s="1587" t="s">
        <v>144</v>
      </c>
      <c r="U84" s="2714" t="s">
        <v>146</v>
      </c>
      <c r="V84" s="2715"/>
    </row>
    <row r="85" spans="2:23" ht="14.25" customHeight="1" x14ac:dyDescent="0.3">
      <c r="B85" s="2716" t="s">
        <v>293</v>
      </c>
      <c r="C85" s="2717"/>
      <c r="D85" s="2717"/>
      <c r="E85" s="2717"/>
      <c r="F85" s="2717"/>
      <c r="G85" s="2717"/>
      <c r="H85" s="2717"/>
      <c r="I85" s="2717"/>
      <c r="J85" s="2717"/>
      <c r="K85" s="2717"/>
      <c r="L85" s="107">
        <v>0</v>
      </c>
      <c r="M85" s="118">
        <v>1</v>
      </c>
      <c r="N85" s="2718" t="str">
        <f>'Smart Suwarga'!N130:P130</f>
        <v>Weri, SE. MA</v>
      </c>
      <c r="O85" s="2719"/>
      <c r="P85" s="2719"/>
      <c r="Q85" s="2720" t="str">
        <f>'Smart Suwarga'!Q130:S130</f>
        <v>19640525 198903 1 026</v>
      </c>
      <c r="R85" s="2721"/>
      <c r="S85" s="2722"/>
      <c r="T85" s="109" t="s">
        <v>302</v>
      </c>
      <c r="U85" s="442" t="s">
        <v>287</v>
      </c>
      <c r="V85" s="443"/>
    </row>
    <row r="86" spans="2:23" ht="14" x14ac:dyDescent="0.3">
      <c r="B86" s="2716" t="s">
        <v>294</v>
      </c>
      <c r="C86" s="2717"/>
      <c r="D86" s="2717"/>
      <c r="E86" s="2717"/>
      <c r="F86" s="2717"/>
      <c r="G86" s="2717"/>
      <c r="H86" s="2717"/>
      <c r="I86" s="2717"/>
      <c r="J86" s="2717"/>
      <c r="K86" s="2717"/>
      <c r="L86" s="107">
        <v>0</v>
      </c>
      <c r="M86" s="118">
        <v>2</v>
      </c>
      <c r="N86" s="2723" t="str">
        <f>'Smart Suwarga'!N131:P131</f>
        <v>Azmi, SH</v>
      </c>
      <c r="O86" s="2724"/>
      <c r="P86" s="2724"/>
      <c r="Q86" s="2720" t="str">
        <f>'Smart Suwarga'!Q131:S131</f>
        <v>19680824 199903 1 004</v>
      </c>
      <c r="R86" s="2721"/>
      <c r="S86" s="2722"/>
      <c r="T86" s="109" t="s">
        <v>303</v>
      </c>
      <c r="U86" s="444"/>
      <c r="V86" s="445" t="s">
        <v>128</v>
      </c>
    </row>
    <row r="87" spans="2:23" ht="14" x14ac:dyDescent="0.3">
      <c r="B87" s="2716" t="s">
        <v>295</v>
      </c>
      <c r="C87" s="2717"/>
      <c r="D87" s="2717"/>
      <c r="E87" s="2717"/>
      <c r="F87" s="2717"/>
      <c r="G87" s="2717"/>
      <c r="H87" s="2717"/>
      <c r="I87" s="2717"/>
      <c r="J87" s="2717"/>
      <c r="K87" s="2717"/>
      <c r="L87" s="107">
        <v>0</v>
      </c>
      <c r="M87" s="1371">
        <v>3</v>
      </c>
      <c r="N87" s="2723" t="str">
        <f>'Smart Suwarga'!N132:P132</f>
        <v>Muhammad Syaifuddin Ambia, ST, MT</v>
      </c>
      <c r="O87" s="2724"/>
      <c r="P87" s="2724"/>
      <c r="Q87" s="2720" t="str">
        <f>'Smart Suwarga'!Q132:S132</f>
        <v>19741010 200604 1 003</v>
      </c>
      <c r="R87" s="2721"/>
      <c r="S87" s="2722"/>
      <c r="T87" s="109" t="s">
        <v>304</v>
      </c>
      <c r="U87" s="446" t="s">
        <v>292</v>
      </c>
      <c r="V87" s="443"/>
    </row>
    <row r="88" spans="2:23" ht="15" customHeight="1" x14ac:dyDescent="0.3">
      <c r="B88" s="2716" t="s">
        <v>296</v>
      </c>
      <c r="C88" s="2717"/>
      <c r="D88" s="2717"/>
      <c r="E88" s="2717"/>
      <c r="F88" s="2717"/>
      <c r="G88" s="2717"/>
      <c r="H88" s="2717"/>
      <c r="I88" s="2717"/>
      <c r="J88" s="2717"/>
      <c r="K88" s="2717"/>
      <c r="L88" s="107">
        <v>0</v>
      </c>
      <c r="M88" s="118">
        <v>4</v>
      </c>
      <c r="N88" s="2723" t="str">
        <f>'Smart Suwarga'!N133:P133</f>
        <v>Basri, SE, M.Si</v>
      </c>
      <c r="O88" s="2724"/>
      <c r="P88" s="2724"/>
      <c r="Q88" s="2720" t="str">
        <f>'Smart Suwarga'!Q133:S133</f>
        <v>19691213 199403 1 002</v>
      </c>
      <c r="R88" s="2721"/>
      <c r="S88" s="2722"/>
      <c r="T88" s="109" t="s">
        <v>305</v>
      </c>
      <c r="U88" s="444"/>
      <c r="V88" s="445" t="s">
        <v>288</v>
      </c>
    </row>
    <row r="89" spans="2:23" ht="14" x14ac:dyDescent="0.3">
      <c r="B89" s="2716" t="s">
        <v>297</v>
      </c>
      <c r="C89" s="2717"/>
      <c r="D89" s="2717"/>
      <c r="E89" s="2717"/>
      <c r="F89" s="2717"/>
      <c r="G89" s="2717"/>
      <c r="H89" s="2717"/>
      <c r="I89" s="2717"/>
      <c r="J89" s="2717"/>
      <c r="K89" s="2717"/>
      <c r="L89" s="108">
        <f>SUM(L85:L88)</f>
        <v>0</v>
      </c>
      <c r="M89" s="105">
        <v>5</v>
      </c>
      <c r="N89" s="2723" t="str">
        <f>'Smart Suwarga'!N134:P134</f>
        <v>Dewi Shinta Reza, SE. Ak</v>
      </c>
      <c r="O89" s="2724"/>
      <c r="P89" s="2724"/>
      <c r="Q89" s="2720" t="str">
        <f>'Smart Suwarga'!Q134:S134</f>
        <v>19750630 200212 2 003</v>
      </c>
      <c r="R89" s="2721"/>
      <c r="S89" s="2722"/>
      <c r="T89" s="109" t="s">
        <v>306</v>
      </c>
      <c r="U89" s="446" t="s">
        <v>289</v>
      </c>
      <c r="V89" s="443"/>
    </row>
    <row r="90" spans="2:23" ht="13.5" customHeight="1" x14ac:dyDescent="0.3">
      <c r="B90" s="2710"/>
      <c r="C90" s="2711"/>
      <c r="D90" s="2711"/>
      <c r="E90" s="2711"/>
      <c r="F90" s="2711"/>
      <c r="G90" s="2711"/>
      <c r="H90" s="2711"/>
      <c r="I90" s="2711"/>
      <c r="J90" s="2711"/>
      <c r="K90" s="2711"/>
      <c r="L90" s="2712"/>
      <c r="M90" s="105">
        <v>6</v>
      </c>
      <c r="N90" s="2718" t="str">
        <f>'Smart Suwarga'!N135:P135</f>
        <v>Harisman, S.STP, M.Ec.Dev</v>
      </c>
      <c r="O90" s="2719"/>
      <c r="P90" s="2719"/>
      <c r="Q90" s="2720" t="str">
        <f>'Smart Suwarga'!Q135:S135</f>
        <v>19830101 200112 1 003</v>
      </c>
      <c r="R90" s="2721"/>
      <c r="S90" s="2722"/>
      <c r="T90" s="109" t="s">
        <v>307</v>
      </c>
      <c r="U90" s="444"/>
      <c r="V90" s="445" t="s">
        <v>290</v>
      </c>
    </row>
    <row r="91" spans="2:23" ht="14.5" thickBot="1" x14ac:dyDescent="0.35">
      <c r="B91" s="2725"/>
      <c r="C91" s="2726"/>
      <c r="D91" s="2726"/>
      <c r="E91" s="2726"/>
      <c r="F91" s="2726"/>
      <c r="G91" s="2726"/>
      <c r="H91" s="2726"/>
      <c r="I91" s="2726"/>
      <c r="J91" s="2726"/>
      <c r="K91" s="2726"/>
      <c r="L91" s="2727"/>
      <c r="M91" s="106">
        <v>7</v>
      </c>
      <c r="N91" s="2728" t="str">
        <f>'Smart Suwarga'!N136:P136</f>
        <v>Alriandi, S.STP, M.Si</v>
      </c>
      <c r="O91" s="2729"/>
      <c r="P91" s="2729"/>
      <c r="Q91" s="2733" t="str">
        <f>'Smart Suwarga'!Q136:S136</f>
        <v>19830308 200112 1 001</v>
      </c>
      <c r="R91" s="2734"/>
      <c r="S91" s="2735"/>
      <c r="T91" s="110" t="s">
        <v>308</v>
      </c>
      <c r="U91" s="447" t="s">
        <v>291</v>
      </c>
      <c r="V91" s="448"/>
    </row>
    <row r="92" spans="2:23" ht="13" thickTop="1" x14ac:dyDescent="0.25">
      <c r="B92" s="1596"/>
      <c r="C92" s="1596"/>
      <c r="D92" s="1596"/>
      <c r="E92" s="1596"/>
      <c r="F92" s="1596"/>
      <c r="G92" s="1596"/>
      <c r="H92" s="1596"/>
      <c r="I92" s="1596"/>
      <c r="J92" s="1596"/>
      <c r="K92" s="1596"/>
      <c r="L92" s="1596"/>
      <c r="M92" s="1596"/>
      <c r="N92" s="1596"/>
      <c r="O92" s="1596"/>
      <c r="P92" s="1596"/>
    </row>
    <row r="93" spans="2:23" x14ac:dyDescent="0.25">
      <c r="B93" s="1596"/>
      <c r="C93" s="1596"/>
      <c r="D93" s="1596"/>
      <c r="E93" s="1596"/>
      <c r="F93" s="1596"/>
      <c r="G93" s="1596"/>
      <c r="H93" s="1596"/>
      <c r="I93" s="1596"/>
      <c r="J93" s="1596"/>
      <c r="K93" s="1596"/>
      <c r="L93" s="1596"/>
      <c r="M93" s="1596"/>
      <c r="N93" s="1596"/>
      <c r="O93" s="1596"/>
      <c r="P93" s="1596"/>
    </row>
    <row r="94" spans="2:23" x14ac:dyDescent="0.25">
      <c r="B94" s="1596"/>
      <c r="C94" s="1596"/>
      <c r="D94" s="1596"/>
      <c r="E94" s="1596"/>
      <c r="F94" s="1596"/>
      <c r="G94" s="1596"/>
      <c r="H94" s="1596"/>
      <c r="I94" s="1596"/>
      <c r="J94" s="1596"/>
      <c r="K94" s="1596"/>
      <c r="L94" s="1596"/>
      <c r="M94" s="1596"/>
      <c r="N94" s="1596"/>
      <c r="O94" s="1596"/>
      <c r="P94" s="1596"/>
    </row>
    <row r="95" spans="2:23" x14ac:dyDescent="0.25">
      <c r="B95" s="1596"/>
      <c r="C95" s="1596"/>
      <c r="D95" s="1596"/>
      <c r="E95" s="1596"/>
      <c r="F95" s="1596"/>
      <c r="G95" s="1596"/>
      <c r="H95" s="1596"/>
      <c r="I95" s="1596"/>
      <c r="J95" s="1596"/>
      <c r="K95" s="1596"/>
      <c r="L95" s="1596"/>
      <c r="M95" s="1596"/>
      <c r="N95" s="1596"/>
      <c r="O95" s="1596"/>
      <c r="P95" s="1596"/>
    </row>
    <row r="96" spans="2:23" x14ac:dyDescent="0.25">
      <c r="B96" s="1596"/>
      <c r="C96" s="1596"/>
      <c r="D96" s="1596"/>
      <c r="E96" s="1596"/>
      <c r="F96" s="1596"/>
      <c r="G96" s="1596"/>
      <c r="H96" s="1596"/>
      <c r="I96" s="1596"/>
      <c r="J96" s="1596"/>
      <c r="K96" s="1596"/>
      <c r="L96" s="1596"/>
      <c r="M96" s="1596"/>
      <c r="N96" s="1596"/>
      <c r="O96" s="1596"/>
      <c r="P96" s="1596"/>
    </row>
    <row r="97" spans="2:16" x14ac:dyDescent="0.25">
      <c r="B97" s="1596"/>
      <c r="C97" s="1596"/>
      <c r="D97" s="1596"/>
      <c r="E97" s="1596"/>
      <c r="F97" s="1596"/>
      <c r="G97" s="1596"/>
      <c r="H97" s="1596"/>
      <c r="I97" s="1596"/>
      <c r="J97" s="1596"/>
      <c r="K97" s="1596"/>
      <c r="L97" s="1596"/>
      <c r="M97" s="1596"/>
      <c r="N97" s="1596"/>
      <c r="O97" s="1596"/>
      <c r="P97" s="1596"/>
    </row>
    <row r="98" spans="2:16" x14ac:dyDescent="0.25">
      <c r="B98" s="1596"/>
      <c r="C98" s="1596"/>
      <c r="D98" s="1596"/>
      <c r="E98" s="1596"/>
      <c r="F98" s="1596"/>
      <c r="G98" s="1596"/>
      <c r="H98" s="1596"/>
      <c r="I98" s="1596"/>
      <c r="J98" s="1596"/>
      <c r="K98" s="1596"/>
      <c r="L98" s="1596"/>
      <c r="M98" s="1596"/>
      <c r="N98" s="1596"/>
      <c r="O98" s="1596"/>
      <c r="P98" s="1596"/>
    </row>
    <row r="99" spans="2:16" x14ac:dyDescent="0.25">
      <c r="B99" s="1596"/>
      <c r="C99" s="1596"/>
      <c r="D99" s="1596"/>
      <c r="E99" s="1596"/>
      <c r="F99" s="1596"/>
      <c r="G99" s="1596"/>
      <c r="H99" s="1596"/>
      <c r="I99" s="1596"/>
      <c r="J99" s="1596"/>
      <c r="K99" s="1596"/>
      <c r="L99" s="1596"/>
      <c r="M99" s="1596"/>
      <c r="N99" s="1596"/>
      <c r="O99" s="1596"/>
      <c r="P99" s="1596"/>
    </row>
    <row r="100" spans="2:16" x14ac:dyDescent="0.25">
      <c r="B100" s="1596"/>
      <c r="C100" s="1596"/>
      <c r="D100" s="1596"/>
      <c r="E100" s="1596"/>
      <c r="F100" s="1596"/>
      <c r="G100" s="1596"/>
      <c r="H100" s="1596"/>
      <c r="I100" s="1596"/>
      <c r="J100" s="1596"/>
      <c r="K100" s="1596"/>
      <c r="L100" s="1596"/>
      <c r="M100" s="1596"/>
      <c r="N100" s="1596"/>
      <c r="O100" s="1596"/>
      <c r="P100" s="1596"/>
    </row>
    <row r="101" spans="2:16" x14ac:dyDescent="0.25">
      <c r="B101" s="1596"/>
      <c r="C101" s="1596"/>
      <c r="D101" s="1596"/>
      <c r="E101" s="1596"/>
      <c r="F101" s="1596"/>
      <c r="G101" s="1596"/>
      <c r="H101" s="1596"/>
      <c r="I101" s="1596"/>
      <c r="J101" s="1596"/>
      <c r="K101" s="1596"/>
      <c r="L101" s="1596"/>
      <c r="M101" s="1596"/>
      <c r="N101" s="1596"/>
      <c r="O101" s="1596"/>
      <c r="P101" s="1596"/>
    </row>
    <row r="102" spans="2:16" x14ac:dyDescent="0.25">
      <c r="B102" s="1596"/>
      <c r="C102" s="1596"/>
      <c r="D102" s="1596"/>
      <c r="E102" s="1596"/>
      <c r="F102" s="1596"/>
      <c r="G102" s="1596"/>
      <c r="H102" s="1596"/>
      <c r="I102" s="1596"/>
      <c r="J102" s="1596"/>
      <c r="K102" s="1596"/>
      <c r="L102" s="1596"/>
      <c r="M102" s="1596"/>
      <c r="N102" s="1596"/>
      <c r="O102" s="1596"/>
      <c r="P102" s="1596"/>
    </row>
    <row r="103" spans="2:16" x14ac:dyDescent="0.25">
      <c r="B103" s="1596"/>
      <c r="C103" s="1596"/>
      <c r="D103" s="1596"/>
      <c r="E103" s="1596"/>
      <c r="F103" s="1596"/>
      <c r="G103" s="1596"/>
      <c r="H103" s="1596"/>
      <c r="I103" s="1596"/>
      <c r="J103" s="1596"/>
      <c r="K103" s="1596"/>
      <c r="L103" s="1596"/>
      <c r="M103" s="1596"/>
      <c r="N103" s="1596"/>
      <c r="O103" s="1596"/>
      <c r="P103" s="1596"/>
    </row>
    <row r="104" spans="2:16" x14ac:dyDescent="0.25">
      <c r="B104" s="1596"/>
      <c r="C104" s="1596"/>
      <c r="D104" s="1596"/>
      <c r="E104" s="1596"/>
      <c r="F104" s="1596"/>
      <c r="G104" s="1596"/>
      <c r="H104" s="1596"/>
      <c r="I104" s="1596"/>
      <c r="J104" s="1596"/>
      <c r="K104" s="1596"/>
      <c r="L104" s="1596"/>
      <c r="M104" s="1596"/>
      <c r="N104" s="1596"/>
      <c r="O104" s="1596"/>
      <c r="P104" s="1596"/>
    </row>
    <row r="105" spans="2:16" x14ac:dyDescent="0.25">
      <c r="B105" s="1596"/>
      <c r="C105" s="1596"/>
      <c r="D105" s="1596"/>
      <c r="E105" s="1596"/>
      <c r="F105" s="1596"/>
      <c r="G105" s="1596"/>
      <c r="H105" s="1596"/>
      <c r="I105" s="1596"/>
      <c r="J105" s="1596"/>
      <c r="K105" s="1596"/>
      <c r="L105" s="1596"/>
      <c r="M105" s="1596"/>
      <c r="N105" s="1596"/>
      <c r="O105" s="1596"/>
      <c r="P105" s="1596"/>
    </row>
    <row r="106" spans="2:16" x14ac:dyDescent="0.25">
      <c r="B106" s="1596"/>
      <c r="C106" s="1596"/>
      <c r="D106" s="1596"/>
      <c r="E106" s="1596"/>
      <c r="F106" s="1596"/>
      <c r="G106" s="1596"/>
      <c r="H106" s="1596"/>
      <c r="I106" s="1596"/>
      <c r="J106" s="1596"/>
      <c r="K106" s="1596"/>
      <c r="L106" s="1596"/>
      <c r="M106" s="1596"/>
      <c r="N106" s="1596"/>
      <c r="O106" s="1596"/>
      <c r="P106" s="1596"/>
    </row>
    <row r="107" spans="2:16" x14ac:dyDescent="0.25">
      <c r="B107" s="1596"/>
      <c r="C107" s="1596"/>
      <c r="D107" s="1596"/>
      <c r="E107" s="1596"/>
      <c r="F107" s="1596"/>
      <c r="G107" s="1596"/>
      <c r="H107" s="1596"/>
      <c r="I107" s="1596"/>
      <c r="J107" s="1596"/>
      <c r="K107" s="1596"/>
      <c r="L107" s="1596"/>
      <c r="M107" s="1596"/>
      <c r="N107" s="1596"/>
      <c r="O107" s="1596"/>
      <c r="P107" s="1596"/>
    </row>
    <row r="108" spans="2:16" x14ac:dyDescent="0.25">
      <c r="B108" s="1596"/>
      <c r="C108" s="1596"/>
      <c r="D108" s="1596"/>
      <c r="E108" s="1596"/>
      <c r="F108" s="1596"/>
      <c r="G108" s="1596"/>
      <c r="H108" s="1596"/>
      <c r="I108" s="1596"/>
      <c r="J108" s="1596"/>
      <c r="K108" s="1596"/>
      <c r="L108" s="1596"/>
      <c r="M108" s="1596"/>
      <c r="N108" s="1596"/>
      <c r="O108" s="1596"/>
      <c r="P108" s="1596"/>
    </row>
  </sheetData>
  <mergeCells count="98">
    <mergeCell ref="B91:L91"/>
    <mergeCell ref="N91:P91"/>
    <mergeCell ref="Q91:S91"/>
    <mergeCell ref="S74:U74"/>
    <mergeCell ref="B89:K89"/>
    <mergeCell ref="N89:P89"/>
    <mergeCell ref="Q89:S89"/>
    <mergeCell ref="B90:L90"/>
    <mergeCell ref="N90:P90"/>
    <mergeCell ref="Q90:S90"/>
    <mergeCell ref="B87:K87"/>
    <mergeCell ref="N87:P87"/>
    <mergeCell ref="Q87:S87"/>
    <mergeCell ref="B88:K88"/>
    <mergeCell ref="N88:P88"/>
    <mergeCell ref="Q88:S88"/>
    <mergeCell ref="B85:K85"/>
    <mergeCell ref="N85:P85"/>
    <mergeCell ref="Q85:S85"/>
    <mergeCell ref="B86:K86"/>
    <mergeCell ref="N86:P86"/>
    <mergeCell ref="Q86:S86"/>
    <mergeCell ref="B84:L84"/>
    <mergeCell ref="N84:P84"/>
    <mergeCell ref="Q84:S84"/>
    <mergeCell ref="U84:V84"/>
    <mergeCell ref="B27:K27"/>
    <mergeCell ref="B71:O71"/>
    <mergeCell ref="Q71:S71"/>
    <mergeCell ref="B72:V72"/>
    <mergeCell ref="S75:U75"/>
    <mergeCell ref="S76:U76"/>
    <mergeCell ref="S80:U80"/>
    <mergeCell ref="S81:U81"/>
    <mergeCell ref="B83:L83"/>
    <mergeCell ref="M83:V83"/>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9:K19"/>
    <mergeCell ref="M19:P19"/>
    <mergeCell ref="Q19:S19"/>
    <mergeCell ref="T19:V19"/>
    <mergeCell ref="B20:V20"/>
    <mergeCell ref="M16:P16"/>
    <mergeCell ref="Q16:S16"/>
    <mergeCell ref="T16:V16"/>
    <mergeCell ref="B18:K18"/>
    <mergeCell ref="M18:P18"/>
    <mergeCell ref="Q18:S18"/>
    <mergeCell ref="T18:V18"/>
    <mergeCell ref="B17:K17"/>
    <mergeCell ref="M17:P17"/>
    <mergeCell ref="Q17:S17"/>
    <mergeCell ref="T17:V17"/>
    <mergeCell ref="B11:K11"/>
    <mergeCell ref="M11:V11"/>
    <mergeCell ref="B12:L12"/>
    <mergeCell ref="M12:V12"/>
    <mergeCell ref="B13:V13"/>
    <mergeCell ref="B14:K15"/>
    <mergeCell ref="L14:P14"/>
    <mergeCell ref="Q14:V14"/>
    <mergeCell ref="M15:P15"/>
    <mergeCell ref="Q15:S15"/>
    <mergeCell ref="T15:V15"/>
    <mergeCell ref="B16:K16"/>
    <mergeCell ref="B8:K8"/>
    <mergeCell ref="M8:V8"/>
    <mergeCell ref="B9:K9"/>
    <mergeCell ref="M9:V9"/>
    <mergeCell ref="B10:K10"/>
    <mergeCell ref="M10:V10"/>
    <mergeCell ref="B4:V4"/>
    <mergeCell ref="B5:V5"/>
    <mergeCell ref="B6:K6"/>
    <mergeCell ref="M6:V6"/>
    <mergeCell ref="B7:K7"/>
    <mergeCell ref="M7:V7"/>
    <mergeCell ref="J2:R2"/>
    <mergeCell ref="S2:T2"/>
    <mergeCell ref="U2:V2"/>
    <mergeCell ref="J3:R3"/>
    <mergeCell ref="S3:T3"/>
    <mergeCell ref="U3:V3"/>
  </mergeCells>
  <hyperlinks>
    <hyperlink ref="P48" r:id="rId1" display="=@sum(P49:P53)"/>
    <hyperlink ref="T48" r:id="rId2" display="=@sum(P49:P53)"/>
  </hyperlinks>
  <pageMargins left="0.7" right="0.7" top="0.75" bottom="0.75" header="0.3" footer="0.3"/>
  <pageSetup paperSize="5" scale="39" orientation="landscape" horizontalDpi="4294967292" verticalDpi="1200" r:id="rId3"/>
  <rowBreaks count="1" manualBreakCount="1">
    <brk id="81" min="1" max="21" man="1"/>
  </rowBreaks>
  <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AS140"/>
  <sheetViews>
    <sheetView view="pageBreakPreview" topLeftCell="A50" zoomScale="74" zoomScaleNormal="100" zoomScaleSheetLayoutView="80" workbookViewId="0">
      <selection activeCell="T44" sqref="T44"/>
    </sheetView>
  </sheetViews>
  <sheetFormatPr defaultColWidth="8.7265625" defaultRowHeight="12.5" x14ac:dyDescent="0.25"/>
  <cols>
    <col min="1" max="1" width="3.4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54296875" style="341" customWidth="1"/>
    <col min="17" max="17" width="9" style="341" customWidth="1"/>
    <col min="18" max="18" width="9.54296875" style="341" customWidth="1"/>
    <col min="19" max="19" width="15.26953125" style="341" customWidth="1"/>
    <col min="20" max="20" width="24.6328125" style="341" customWidth="1"/>
    <col min="21" max="21" width="17" style="341" customWidth="1"/>
    <col min="22" max="22" width="15" style="341" customWidth="1"/>
    <col min="23" max="16384" width="8.7265625" style="341"/>
  </cols>
  <sheetData>
    <row r="1" spans="2:45" ht="13" thickBot="1" x14ac:dyDescent="0.3">
      <c r="AQ1" s="2703"/>
      <c r="AR1" s="2703"/>
      <c r="AS1" s="2703"/>
    </row>
    <row r="2" spans="2:45"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45" ht="18" customHeight="1" thickBot="1" x14ac:dyDescent="0.3">
      <c r="B3" s="98"/>
      <c r="C3" s="97"/>
      <c r="D3" s="97"/>
      <c r="E3" s="97"/>
      <c r="F3" s="97"/>
      <c r="G3" s="97"/>
      <c r="H3" s="97"/>
      <c r="I3" s="97"/>
      <c r="J3" s="2539" t="s">
        <v>114</v>
      </c>
      <c r="K3" s="2539"/>
      <c r="L3" s="2539"/>
      <c r="M3" s="2539"/>
      <c r="N3" s="2539"/>
      <c r="O3" s="2539"/>
      <c r="P3" s="2539"/>
      <c r="Q3" s="2539"/>
      <c r="R3" s="2871"/>
      <c r="S3" s="3134" t="s">
        <v>321</v>
      </c>
      <c r="T3" s="2966"/>
      <c r="U3" s="2653" t="s">
        <v>283</v>
      </c>
      <c r="V3" s="2540"/>
    </row>
    <row r="4" spans="2:45"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45" ht="15" customHeight="1" thickBot="1" x14ac:dyDescent="0.3">
      <c r="B5" s="2953" t="str">
        <f>'E-Gov Aplikasi'!B5:V5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45" ht="19" customHeight="1" x14ac:dyDescent="0.25">
      <c r="B6" s="2956" t="s">
        <v>314</v>
      </c>
      <c r="C6" s="2957"/>
      <c r="D6" s="2957"/>
      <c r="E6" s="2957"/>
      <c r="F6" s="2957"/>
      <c r="G6" s="2957"/>
      <c r="H6" s="2957"/>
      <c r="I6" s="2957"/>
      <c r="J6" s="2957"/>
      <c r="K6" s="2957"/>
      <c r="L6" s="973" t="s">
        <v>241</v>
      </c>
      <c r="M6" s="2957" t="s">
        <v>237</v>
      </c>
      <c r="N6" s="2957"/>
      <c r="O6" s="2957"/>
      <c r="P6" s="2957"/>
      <c r="Q6" s="2957"/>
      <c r="R6" s="2957"/>
      <c r="S6" s="2957"/>
      <c r="T6" s="2957"/>
      <c r="U6" s="2957"/>
      <c r="V6" s="2958"/>
    </row>
    <row r="7" spans="2:45" ht="19" customHeight="1" thickBot="1" x14ac:dyDescent="0.3">
      <c r="B7" s="2959" t="s">
        <v>315</v>
      </c>
      <c r="C7" s="2960"/>
      <c r="D7" s="2960"/>
      <c r="E7" s="2960"/>
      <c r="F7" s="2960"/>
      <c r="G7" s="2960"/>
      <c r="H7" s="2960"/>
      <c r="I7" s="2960"/>
      <c r="J7" s="2960"/>
      <c r="K7" s="2960"/>
      <c r="L7" s="974" t="s">
        <v>240</v>
      </c>
      <c r="M7" s="2961" t="s">
        <v>260</v>
      </c>
      <c r="N7" s="2961"/>
      <c r="O7" s="2961"/>
      <c r="P7" s="2961"/>
      <c r="Q7" s="2961"/>
      <c r="R7" s="2961"/>
      <c r="S7" s="2961"/>
      <c r="T7" s="2961"/>
      <c r="U7" s="2961"/>
      <c r="V7" s="2962"/>
    </row>
    <row r="8" spans="2:45" ht="19" customHeight="1" x14ac:dyDescent="0.25">
      <c r="B8" s="2939" t="s">
        <v>316</v>
      </c>
      <c r="C8" s="2940"/>
      <c r="D8" s="2940"/>
      <c r="E8" s="2940"/>
      <c r="F8" s="2940"/>
      <c r="G8" s="2940"/>
      <c r="H8" s="2940"/>
      <c r="I8" s="2940"/>
      <c r="J8" s="2940"/>
      <c r="K8" s="2940"/>
      <c r="L8" s="975" t="s">
        <v>254</v>
      </c>
      <c r="M8" s="2948" t="s">
        <v>323</v>
      </c>
      <c r="N8" s="2948"/>
      <c r="O8" s="2948"/>
      <c r="P8" s="2948"/>
      <c r="Q8" s="2948"/>
      <c r="R8" s="2948"/>
      <c r="S8" s="2948"/>
      <c r="T8" s="2948"/>
      <c r="U8" s="2948"/>
      <c r="V8" s="2949"/>
    </row>
    <row r="9" spans="2:45" ht="19" customHeight="1" x14ac:dyDescent="0.25">
      <c r="B9" s="2950" t="s">
        <v>318</v>
      </c>
      <c r="C9" s="2951"/>
      <c r="D9" s="2951"/>
      <c r="E9" s="2951"/>
      <c r="F9" s="2951"/>
      <c r="G9" s="2951"/>
      <c r="H9" s="2951"/>
      <c r="I9" s="2951"/>
      <c r="J9" s="2951"/>
      <c r="K9" s="2951"/>
      <c r="L9" s="976" t="s">
        <v>255</v>
      </c>
      <c r="M9" s="2868" t="s">
        <v>324</v>
      </c>
      <c r="N9" s="2868"/>
      <c r="O9" s="2868"/>
      <c r="P9" s="2868"/>
      <c r="Q9" s="2868"/>
      <c r="R9" s="2868"/>
      <c r="S9" s="2868"/>
      <c r="T9" s="2868"/>
      <c r="U9" s="2868"/>
      <c r="V9" s="2869"/>
    </row>
    <row r="10" spans="2:45" ht="19" customHeight="1" x14ac:dyDescent="0.25">
      <c r="B10" s="2939" t="s">
        <v>317</v>
      </c>
      <c r="C10" s="2940"/>
      <c r="D10" s="2940"/>
      <c r="E10" s="2940"/>
      <c r="F10" s="2940"/>
      <c r="G10" s="2940"/>
      <c r="H10" s="2940"/>
      <c r="I10" s="2940"/>
      <c r="J10" s="2940"/>
      <c r="K10" s="2940"/>
      <c r="L10" s="344"/>
      <c r="M10" s="2868" t="str">
        <f>'E-Gov Aplikasi'!M10:V10</f>
        <v>Januari s/d Desember 2020</v>
      </c>
      <c r="N10" s="2868"/>
      <c r="O10" s="2868"/>
      <c r="P10" s="2868"/>
      <c r="Q10" s="2868"/>
      <c r="R10" s="2868"/>
      <c r="S10" s="2868"/>
      <c r="T10" s="2868"/>
      <c r="U10" s="2868"/>
      <c r="V10" s="2869"/>
    </row>
    <row r="11" spans="2:45" ht="19" customHeight="1" x14ac:dyDescent="0.25">
      <c r="B11" s="2939" t="s">
        <v>319</v>
      </c>
      <c r="C11" s="2940"/>
      <c r="D11" s="2940"/>
      <c r="E11" s="2940"/>
      <c r="F11" s="2940"/>
      <c r="G11" s="2940"/>
      <c r="H11" s="2940"/>
      <c r="I11" s="2940"/>
      <c r="J11" s="2940"/>
      <c r="K11" s="2940"/>
      <c r="L11" s="344"/>
      <c r="M11" s="2845" t="s">
        <v>90</v>
      </c>
      <c r="N11" s="2845"/>
      <c r="O11" s="2845"/>
      <c r="P11" s="2845"/>
      <c r="Q11" s="2845"/>
      <c r="R11" s="2845"/>
      <c r="S11" s="2845"/>
      <c r="T11" s="2845"/>
      <c r="U11" s="2845"/>
      <c r="V11" s="2846"/>
    </row>
    <row r="12" spans="2:45" ht="19" customHeight="1" x14ac:dyDescent="0.25">
      <c r="B12" s="2931" t="s">
        <v>320</v>
      </c>
      <c r="C12" s="2868"/>
      <c r="D12" s="2868"/>
      <c r="E12" s="2868"/>
      <c r="F12" s="2868"/>
      <c r="G12" s="2868"/>
      <c r="H12" s="2868"/>
      <c r="I12" s="2868"/>
      <c r="J12" s="2868"/>
      <c r="K12" s="2868"/>
      <c r="L12" s="2868"/>
      <c r="M12" s="2845" t="s">
        <v>322</v>
      </c>
      <c r="N12" s="2845"/>
      <c r="O12" s="2845"/>
      <c r="P12" s="2845"/>
      <c r="Q12" s="2845"/>
      <c r="R12" s="2845"/>
      <c r="S12" s="2845"/>
      <c r="T12" s="2845"/>
      <c r="U12" s="2845"/>
      <c r="V12" s="2846"/>
    </row>
    <row r="13" spans="2:45"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45"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45" ht="14.25" customHeight="1" x14ac:dyDescent="0.3">
      <c r="B15" s="2856"/>
      <c r="C15" s="2857"/>
      <c r="D15" s="2857"/>
      <c r="E15" s="2857"/>
      <c r="F15" s="2857"/>
      <c r="G15" s="2857"/>
      <c r="H15" s="2857"/>
      <c r="I15" s="2857"/>
      <c r="J15" s="2857"/>
      <c r="K15" s="2858"/>
      <c r="L15" s="418" t="s">
        <v>270</v>
      </c>
      <c r="M15" s="2945" t="s">
        <v>281</v>
      </c>
      <c r="N15" s="2943"/>
      <c r="O15" s="2943"/>
      <c r="P15" s="2946"/>
      <c r="Q15" s="2747" t="s">
        <v>270</v>
      </c>
      <c r="R15" s="2747"/>
      <c r="S15" s="2747"/>
      <c r="T15" s="2747" t="s">
        <v>281</v>
      </c>
      <c r="U15" s="2747"/>
      <c r="V15" s="2947"/>
      <c r="W15" s="520"/>
    </row>
    <row r="16" spans="2:45" ht="28" customHeight="1" x14ac:dyDescent="0.25">
      <c r="B16" s="2834" t="s">
        <v>14</v>
      </c>
      <c r="C16" s="2835"/>
      <c r="D16" s="2835"/>
      <c r="E16" s="2835"/>
      <c r="F16" s="2835"/>
      <c r="G16" s="2835"/>
      <c r="H16" s="2835"/>
      <c r="I16" s="2835"/>
      <c r="J16" s="2835"/>
      <c r="K16" s="2883"/>
      <c r="L16" s="1108" t="s">
        <v>191</v>
      </c>
      <c r="M16" s="2507" t="s">
        <v>518</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83"/>
      <c r="L17" s="1108" t="s">
        <v>430</v>
      </c>
      <c r="M17" s="2933" t="str">
        <f>L17</f>
        <v>Jumlah Dana Yang Dibutuhkan</v>
      </c>
      <c r="N17" s="2933"/>
      <c r="O17" s="2933"/>
      <c r="P17" s="2933"/>
      <c r="Q17" s="2934">
        <f>P28</f>
        <v>660297000</v>
      </c>
      <c r="R17" s="2935"/>
      <c r="S17" s="2936"/>
      <c r="T17" s="2937">
        <f>T28</f>
        <v>805473500</v>
      </c>
      <c r="U17" s="2937"/>
      <c r="V17" s="2938"/>
    </row>
    <row r="18" spans="2:22" ht="25" x14ac:dyDescent="0.25">
      <c r="B18" s="2834" t="s">
        <v>136</v>
      </c>
      <c r="C18" s="2835"/>
      <c r="D18" s="2835"/>
      <c r="E18" s="2835"/>
      <c r="F18" s="2835"/>
      <c r="G18" s="2835"/>
      <c r="H18" s="2835"/>
      <c r="I18" s="2835"/>
      <c r="J18" s="2835"/>
      <c r="K18" s="2883"/>
      <c r="L18" s="1108" t="s">
        <v>520</v>
      </c>
      <c r="M18" s="2875" t="s">
        <v>520</v>
      </c>
      <c r="N18" s="2875"/>
      <c r="O18" s="2875"/>
      <c r="P18" s="2875"/>
      <c r="Q18" s="2616" t="s">
        <v>519</v>
      </c>
      <c r="R18" s="2616"/>
      <c r="S18" s="2837"/>
      <c r="T18" s="2616" t="s">
        <v>519</v>
      </c>
      <c r="U18" s="2616"/>
      <c r="V18" s="2837"/>
    </row>
    <row r="19" spans="2:22" ht="14" x14ac:dyDescent="0.25">
      <c r="B19" s="2834" t="s">
        <v>137</v>
      </c>
      <c r="C19" s="2835"/>
      <c r="D19" s="2835"/>
      <c r="E19" s="2835"/>
      <c r="F19" s="2835"/>
      <c r="G19" s="2835"/>
      <c r="H19" s="2835"/>
      <c r="I19" s="2835"/>
      <c r="J19" s="2835"/>
      <c r="K19" s="2883"/>
      <c r="L19" s="1108" t="s">
        <v>521</v>
      </c>
      <c r="M19" s="2875" t="s">
        <v>521</v>
      </c>
      <c r="N19" s="2875"/>
      <c r="O19" s="2875"/>
      <c r="P19" s="2875"/>
      <c r="Q19" s="2830">
        <v>0.65</v>
      </c>
      <c r="R19" s="2616"/>
      <c r="S19" s="2837"/>
      <c r="T19" s="2830">
        <v>0.65</v>
      </c>
      <c r="U19" s="2616"/>
      <c r="V19" s="2837"/>
    </row>
    <row r="20" spans="2:22" ht="14.25" customHeight="1" x14ac:dyDescent="0.25">
      <c r="B20" s="2931" t="s">
        <v>182</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468"/>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411" t="s">
        <v>122</v>
      </c>
      <c r="Q24" s="2878" t="s">
        <v>127</v>
      </c>
      <c r="R24" s="2880" t="s">
        <v>8</v>
      </c>
      <c r="S24" s="2880"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411"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10"/>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983" t="s">
        <v>7</v>
      </c>
      <c r="Q27" s="984">
        <v>7</v>
      </c>
      <c r="R27" s="984">
        <v>8</v>
      </c>
      <c r="S27" s="985">
        <v>9</v>
      </c>
      <c r="T27" s="986" t="s">
        <v>275</v>
      </c>
      <c r="U27" s="1144" t="s">
        <v>274</v>
      </c>
      <c r="V27" s="1145">
        <v>12</v>
      </c>
    </row>
    <row r="28" spans="2:22" ht="24" customHeight="1" thickTop="1" x14ac:dyDescent="0.25">
      <c r="B28" s="2352">
        <v>1</v>
      </c>
      <c r="C28" s="2353" t="s">
        <v>239</v>
      </c>
      <c r="D28" s="2353" t="s">
        <v>84</v>
      </c>
      <c r="E28" s="2354"/>
      <c r="F28" s="2355"/>
      <c r="G28" s="2355">
        <v>5</v>
      </c>
      <c r="H28" s="2355">
        <v>2</v>
      </c>
      <c r="I28" s="2355"/>
      <c r="J28" s="2355"/>
      <c r="K28" s="2355"/>
      <c r="L28" s="2430" t="s">
        <v>54</v>
      </c>
      <c r="M28" s="2356"/>
      <c r="N28" s="2357"/>
      <c r="O28" s="2357"/>
      <c r="P28" s="2418">
        <f>P29</f>
        <v>660297000</v>
      </c>
      <c r="Q28" s="2406"/>
      <c r="R28" s="1002"/>
      <c r="S28" s="1002"/>
      <c r="T28" s="1320">
        <f>T29</f>
        <v>805473500</v>
      </c>
      <c r="U28" s="882">
        <f>T28-P28</f>
        <v>145176500</v>
      </c>
      <c r="V28" s="988">
        <f>U28/P28*100</f>
        <v>21.986545448487576</v>
      </c>
    </row>
    <row r="29" spans="2:22" ht="21.5" customHeight="1" x14ac:dyDescent="0.25">
      <c r="B29" s="1845">
        <v>1</v>
      </c>
      <c r="C29" s="1848" t="s">
        <v>239</v>
      </c>
      <c r="D29" s="1848" t="s">
        <v>84</v>
      </c>
      <c r="E29" s="2358">
        <v>18</v>
      </c>
      <c r="F29" s="1848"/>
      <c r="G29" s="1846"/>
      <c r="H29" s="1846"/>
      <c r="I29" s="1846"/>
      <c r="J29" s="1846"/>
      <c r="K29" s="1846"/>
      <c r="L29" s="2429" t="s">
        <v>468</v>
      </c>
      <c r="M29" s="1007"/>
      <c r="N29" s="2359"/>
      <c r="O29" s="2359"/>
      <c r="P29" s="2387">
        <f>P30</f>
        <v>660297000</v>
      </c>
      <c r="Q29" s="2407"/>
      <c r="R29" s="1008"/>
      <c r="S29" s="1008"/>
      <c r="T29" s="1038">
        <f>T30</f>
        <v>805473500</v>
      </c>
      <c r="U29" s="756">
        <f t="shared" ref="U29:U30" si="0">SUM(T29)-P29</f>
        <v>145176500</v>
      </c>
      <c r="V29" s="761"/>
    </row>
    <row r="30" spans="2:22" ht="25" x14ac:dyDescent="0.25">
      <c r="B30" s="1003">
        <v>1</v>
      </c>
      <c r="C30" s="1004" t="s">
        <v>239</v>
      </c>
      <c r="D30" s="1004" t="s">
        <v>84</v>
      </c>
      <c r="E30" s="1005">
        <v>18</v>
      </c>
      <c r="F30" s="1005" t="s">
        <v>84</v>
      </c>
      <c r="G30" s="1006"/>
      <c r="H30" s="1006"/>
      <c r="I30" s="1006"/>
      <c r="J30" s="1006"/>
      <c r="K30" s="1004"/>
      <c r="L30" s="1076" t="s">
        <v>756</v>
      </c>
      <c r="M30" s="1007"/>
      <c r="N30" s="2359"/>
      <c r="O30" s="2359" t="s">
        <v>469</v>
      </c>
      <c r="P30" s="2419">
        <f>P32+P44</f>
        <v>660297000</v>
      </c>
      <c r="Q30" s="2407"/>
      <c r="R30" s="1008"/>
      <c r="S30" s="1008" t="s">
        <v>469</v>
      </c>
      <c r="T30" s="1321">
        <f>T32+T44</f>
        <v>805473500</v>
      </c>
      <c r="U30" s="756">
        <f t="shared" si="0"/>
        <v>145176500</v>
      </c>
      <c r="V30" s="439"/>
    </row>
    <row r="31" spans="2:22" x14ac:dyDescent="0.25">
      <c r="B31" s="1003"/>
      <c r="C31" s="1004"/>
      <c r="D31" s="1004"/>
      <c r="E31" s="1005"/>
      <c r="F31" s="1005"/>
      <c r="G31" s="1006"/>
      <c r="H31" s="1006"/>
      <c r="I31" s="1006"/>
      <c r="J31" s="1006"/>
      <c r="K31" s="1004"/>
      <c r="L31" s="2424"/>
      <c r="M31" s="1007"/>
      <c r="N31" s="2359"/>
      <c r="O31" s="2359"/>
      <c r="P31" s="2419"/>
      <c r="Q31" s="2407"/>
      <c r="R31" s="1008"/>
      <c r="S31" s="1008"/>
      <c r="T31" s="1321"/>
      <c r="U31" s="756"/>
      <c r="V31" s="439"/>
    </row>
    <row r="32" spans="2:22" x14ac:dyDescent="0.25">
      <c r="B32" s="1845">
        <v>1</v>
      </c>
      <c r="C32" s="1848" t="s">
        <v>239</v>
      </c>
      <c r="D32" s="1848" t="s">
        <v>84</v>
      </c>
      <c r="E32" s="2358">
        <v>18</v>
      </c>
      <c r="F32" s="2358" t="s">
        <v>84</v>
      </c>
      <c r="G32" s="1846">
        <v>5</v>
      </c>
      <c r="H32" s="1846">
        <v>2</v>
      </c>
      <c r="I32" s="1846">
        <v>1</v>
      </c>
      <c r="J32" s="1846"/>
      <c r="K32" s="1846"/>
      <c r="L32" s="2360" t="s">
        <v>39</v>
      </c>
      <c r="M32" s="1009"/>
      <c r="N32" s="2361"/>
      <c r="O32" s="2361"/>
      <c r="P32" s="2387">
        <f>P33+P37</f>
        <v>4350000</v>
      </c>
      <c r="Q32" s="2254"/>
      <c r="R32" s="1010"/>
      <c r="S32" s="1010"/>
      <c r="T32" s="1038">
        <f>T33+T37</f>
        <v>3450000</v>
      </c>
      <c r="U32" s="756">
        <f t="shared" ref="U32:U34" si="1">SUM(T32)-P32</f>
        <v>-900000</v>
      </c>
      <c r="V32" s="761"/>
    </row>
    <row r="33" spans="2:22" x14ac:dyDescent="0.25">
      <c r="B33" s="1845">
        <v>1</v>
      </c>
      <c r="C33" s="1848" t="s">
        <v>239</v>
      </c>
      <c r="D33" s="1848" t="s">
        <v>84</v>
      </c>
      <c r="E33" s="2358">
        <v>18</v>
      </c>
      <c r="F33" s="2358" t="s">
        <v>84</v>
      </c>
      <c r="G33" s="1846">
        <v>5</v>
      </c>
      <c r="H33" s="1846">
        <v>2</v>
      </c>
      <c r="I33" s="1846">
        <v>1</v>
      </c>
      <c r="J33" s="1848" t="s">
        <v>84</v>
      </c>
      <c r="K33" s="1846"/>
      <c r="L33" s="2362" t="s">
        <v>96</v>
      </c>
      <c r="M33" s="1009"/>
      <c r="N33" s="2363"/>
      <c r="O33" s="2363"/>
      <c r="P33" s="2387">
        <f>P34</f>
        <v>3250000</v>
      </c>
      <c r="Q33" s="2254"/>
      <c r="R33" s="1011"/>
      <c r="S33" s="1011"/>
      <c r="T33" s="1038">
        <f>T34</f>
        <v>3250000</v>
      </c>
      <c r="U33" s="756">
        <f t="shared" si="1"/>
        <v>0</v>
      </c>
      <c r="V33" s="439">
        <f>U33/P33*100</f>
        <v>0</v>
      </c>
    </row>
    <row r="34" spans="2:22" ht="13.5" customHeight="1" x14ac:dyDescent="0.25">
      <c r="B34" s="1845">
        <v>1</v>
      </c>
      <c r="C34" s="1848" t="s">
        <v>239</v>
      </c>
      <c r="D34" s="1848" t="s">
        <v>84</v>
      </c>
      <c r="E34" s="2358">
        <v>18</v>
      </c>
      <c r="F34" s="2358" t="s">
        <v>84</v>
      </c>
      <c r="G34" s="1846">
        <v>5</v>
      </c>
      <c r="H34" s="1846">
        <v>2</v>
      </c>
      <c r="I34" s="1846">
        <v>1</v>
      </c>
      <c r="J34" s="1848" t="s">
        <v>84</v>
      </c>
      <c r="K34" s="1848" t="s">
        <v>84</v>
      </c>
      <c r="L34" s="2364" t="s">
        <v>85</v>
      </c>
      <c r="M34" s="1012"/>
      <c r="N34" s="1836"/>
      <c r="O34" s="1836"/>
      <c r="P34" s="1837">
        <f>SUM(P35:P35)</f>
        <v>3250000</v>
      </c>
      <c r="Q34" s="2408"/>
      <c r="R34" s="881"/>
      <c r="S34" s="881"/>
      <c r="T34" s="1013">
        <f>SUM(T35:T35)</f>
        <v>3250000</v>
      </c>
      <c r="U34" s="756">
        <f t="shared" si="1"/>
        <v>0</v>
      </c>
      <c r="V34" s="439"/>
    </row>
    <row r="35" spans="2:22" ht="42.5" customHeight="1" x14ac:dyDescent="0.25">
      <c r="B35" s="1845"/>
      <c r="C35" s="1848"/>
      <c r="D35" s="1848"/>
      <c r="E35" s="2358"/>
      <c r="F35" s="1848"/>
      <c r="G35" s="1846"/>
      <c r="H35" s="1846"/>
      <c r="I35" s="1846"/>
      <c r="J35" s="1848"/>
      <c r="K35" s="1848"/>
      <c r="L35" s="2365" t="s">
        <v>757</v>
      </c>
      <c r="M35" s="1012">
        <v>10</v>
      </c>
      <c r="N35" s="881" t="s">
        <v>52</v>
      </c>
      <c r="O35" s="1013">
        <v>325000</v>
      </c>
      <c r="P35" s="1013">
        <f>O35*M35</f>
        <v>3250000</v>
      </c>
      <c r="Q35" s="2408">
        <v>10</v>
      </c>
      <c r="R35" s="881" t="s">
        <v>52</v>
      </c>
      <c r="S35" s="1013">
        <v>325000</v>
      </c>
      <c r="T35" s="1013">
        <f>S35*Q35</f>
        <v>3250000</v>
      </c>
      <c r="U35" s="756">
        <f>SUM(T35)-P35</f>
        <v>0</v>
      </c>
      <c r="V35" s="439"/>
    </row>
    <row r="36" spans="2:22" ht="12.5" customHeight="1" x14ac:dyDescent="0.25">
      <c r="B36" s="1845"/>
      <c r="C36" s="1848"/>
      <c r="D36" s="1848"/>
      <c r="E36" s="2358"/>
      <c r="F36" s="1848"/>
      <c r="G36" s="1846"/>
      <c r="H36" s="1846"/>
      <c r="I36" s="1846"/>
      <c r="J36" s="1848"/>
      <c r="K36" s="1848"/>
      <c r="L36" s="2366"/>
      <c r="M36" s="1012"/>
      <c r="N36" s="1836"/>
      <c r="O36" s="1837"/>
      <c r="P36" s="1837"/>
      <c r="Q36" s="2408"/>
      <c r="R36" s="881"/>
      <c r="S36" s="1013"/>
      <c r="T36" s="1013"/>
      <c r="U36" s="756"/>
      <c r="V36" s="439"/>
    </row>
    <row r="37" spans="2:22" x14ac:dyDescent="0.25">
      <c r="B37" s="2196">
        <v>1</v>
      </c>
      <c r="C37" s="1142" t="s">
        <v>239</v>
      </c>
      <c r="D37" s="1142" t="s">
        <v>84</v>
      </c>
      <c r="E37" s="2197">
        <v>18</v>
      </c>
      <c r="F37" s="2197" t="s">
        <v>87</v>
      </c>
      <c r="G37" s="1052">
        <v>5</v>
      </c>
      <c r="H37" s="1052">
        <v>2</v>
      </c>
      <c r="I37" s="1052">
        <v>1</v>
      </c>
      <c r="J37" s="1142" t="s">
        <v>87</v>
      </c>
      <c r="K37" s="1052"/>
      <c r="L37" s="2367" t="s">
        <v>107</v>
      </c>
      <c r="M37" s="1018"/>
      <c r="N37" s="2206"/>
      <c r="O37" s="2206"/>
      <c r="P37" s="2266">
        <f>P38</f>
        <v>1100000</v>
      </c>
      <c r="Q37" s="2409"/>
      <c r="R37" s="1019"/>
      <c r="S37" s="1019"/>
      <c r="T37" s="1189">
        <f>T38</f>
        <v>200000</v>
      </c>
      <c r="U37" s="756">
        <f t="shared" ref="U37:U42" si="2">SUM(T37)-P37</f>
        <v>-900000</v>
      </c>
      <c r="V37" s="439"/>
    </row>
    <row r="38" spans="2:22" x14ac:dyDescent="0.25">
      <c r="B38" s="2196">
        <v>1</v>
      </c>
      <c r="C38" s="1142" t="s">
        <v>239</v>
      </c>
      <c r="D38" s="1142" t="s">
        <v>84</v>
      </c>
      <c r="E38" s="2197">
        <v>18</v>
      </c>
      <c r="F38" s="2197" t="s">
        <v>87</v>
      </c>
      <c r="G38" s="1052">
        <v>5</v>
      </c>
      <c r="H38" s="1052">
        <v>2</v>
      </c>
      <c r="I38" s="1052">
        <v>1</v>
      </c>
      <c r="J38" s="1142" t="s">
        <v>87</v>
      </c>
      <c r="K38" s="1142" t="s">
        <v>97</v>
      </c>
      <c r="L38" s="2368" t="s">
        <v>175</v>
      </c>
      <c r="M38" s="1018"/>
      <c r="N38" s="1057"/>
      <c r="O38" s="2224"/>
      <c r="P38" s="2226">
        <f>SUM(P39:P42)</f>
        <v>1100000</v>
      </c>
      <c r="Q38" s="2409"/>
      <c r="R38" s="1020"/>
      <c r="S38" s="1021"/>
      <c r="T38" s="1042">
        <f>SUM(T39:T42)</f>
        <v>200000</v>
      </c>
      <c r="U38" s="756">
        <f t="shared" si="2"/>
        <v>-900000</v>
      </c>
      <c r="V38" s="439">
        <f>U38/P38*100</f>
        <v>-81.818181818181827</v>
      </c>
    </row>
    <row r="39" spans="2:22" x14ac:dyDescent="0.25">
      <c r="B39" s="2196"/>
      <c r="C39" s="1142"/>
      <c r="D39" s="1142"/>
      <c r="E39" s="2197"/>
      <c r="F39" s="1142"/>
      <c r="G39" s="1052"/>
      <c r="H39" s="1052"/>
      <c r="I39" s="1052"/>
      <c r="J39" s="1142"/>
      <c r="K39" s="1142"/>
      <c r="L39" s="2369" t="s">
        <v>758</v>
      </c>
      <c r="M39" s="1022">
        <v>1</v>
      </c>
      <c r="N39" s="2214" t="s">
        <v>150</v>
      </c>
      <c r="O39" s="2215">
        <v>300000</v>
      </c>
      <c r="P39" s="2231">
        <f>O39*M39</f>
        <v>300000</v>
      </c>
      <c r="Q39" s="2410"/>
      <c r="R39" s="1023"/>
      <c r="S39" s="1024"/>
      <c r="T39" s="1049"/>
      <c r="U39" s="756">
        <f t="shared" si="2"/>
        <v>-300000</v>
      </c>
      <c r="V39" s="439"/>
    </row>
    <row r="40" spans="2:22" x14ac:dyDescent="0.25">
      <c r="B40" s="2196"/>
      <c r="C40" s="1142"/>
      <c r="D40" s="1142"/>
      <c r="E40" s="2197"/>
      <c r="F40" s="1142"/>
      <c r="G40" s="1052"/>
      <c r="H40" s="1052"/>
      <c r="I40" s="1052"/>
      <c r="J40" s="1142"/>
      <c r="K40" s="1142"/>
      <c r="L40" s="2370" t="s">
        <v>759</v>
      </c>
      <c r="M40" s="1025">
        <v>1</v>
      </c>
      <c r="N40" s="2214" t="s">
        <v>150</v>
      </c>
      <c r="O40" s="2215">
        <v>300000</v>
      </c>
      <c r="P40" s="2231">
        <f>O40*M40</f>
        <v>300000</v>
      </c>
      <c r="Q40" s="2411"/>
      <c r="R40" s="1023"/>
      <c r="S40" s="1024"/>
      <c r="T40" s="1049"/>
      <c r="U40" s="756">
        <f t="shared" si="2"/>
        <v>-300000</v>
      </c>
      <c r="V40" s="439"/>
    </row>
    <row r="41" spans="2:22" x14ac:dyDescent="0.25">
      <c r="B41" s="2196"/>
      <c r="C41" s="1142"/>
      <c r="D41" s="1142"/>
      <c r="E41" s="2197"/>
      <c r="F41" s="2197"/>
      <c r="G41" s="1052"/>
      <c r="H41" s="1052"/>
      <c r="I41" s="1052"/>
      <c r="J41" s="1142"/>
      <c r="K41" s="1052"/>
      <c r="L41" s="2371" t="s">
        <v>760</v>
      </c>
      <c r="M41" s="1025">
        <v>1</v>
      </c>
      <c r="N41" s="2214" t="s">
        <v>150</v>
      </c>
      <c r="O41" s="2215">
        <v>300000</v>
      </c>
      <c r="P41" s="2231">
        <f>O41*M41</f>
        <v>300000</v>
      </c>
      <c r="Q41" s="2411"/>
      <c r="R41" s="1023"/>
      <c r="S41" s="1024"/>
      <c r="T41" s="1049"/>
      <c r="U41" s="756">
        <f t="shared" si="2"/>
        <v>-300000</v>
      </c>
      <c r="V41" s="761"/>
    </row>
    <row r="42" spans="2:22" x14ac:dyDescent="0.25">
      <c r="B42" s="2196"/>
      <c r="C42" s="1142"/>
      <c r="D42" s="1142"/>
      <c r="E42" s="2197"/>
      <c r="F42" s="2197"/>
      <c r="G42" s="1052"/>
      <c r="H42" s="1052"/>
      <c r="I42" s="1052"/>
      <c r="J42" s="1142"/>
      <c r="K42" s="1142"/>
      <c r="L42" s="2369" t="s">
        <v>761</v>
      </c>
      <c r="M42" s="1026">
        <v>2</v>
      </c>
      <c r="N42" s="2372" t="s">
        <v>150</v>
      </c>
      <c r="O42" s="2373">
        <v>100000</v>
      </c>
      <c r="P42" s="2420">
        <f>O42*M42</f>
        <v>200000</v>
      </c>
      <c r="Q42" s="2412">
        <v>2</v>
      </c>
      <c r="R42" s="1027" t="s">
        <v>150</v>
      </c>
      <c r="S42" s="1028">
        <v>100000</v>
      </c>
      <c r="T42" s="1205">
        <f>S42*Q42</f>
        <v>200000</v>
      </c>
      <c r="U42" s="756">
        <f t="shared" si="2"/>
        <v>0</v>
      </c>
      <c r="V42" s="761"/>
    </row>
    <row r="43" spans="2:22" x14ac:dyDescent="0.25">
      <c r="B43" s="1845"/>
      <c r="C43" s="1848"/>
      <c r="D43" s="1848"/>
      <c r="E43" s="2358"/>
      <c r="F43" s="1848"/>
      <c r="G43" s="1846"/>
      <c r="H43" s="1846"/>
      <c r="I43" s="1846"/>
      <c r="J43" s="1848"/>
      <c r="K43" s="1848"/>
      <c r="L43" s="2364"/>
      <c r="M43" s="1012"/>
      <c r="N43" s="1836"/>
      <c r="O43" s="1837"/>
      <c r="P43" s="1837"/>
      <c r="Q43" s="2408"/>
      <c r="R43" s="881"/>
      <c r="S43" s="1013"/>
      <c r="T43" s="1013"/>
      <c r="U43" s="756"/>
      <c r="V43" s="761"/>
    </row>
    <row r="44" spans="2:22" x14ac:dyDescent="0.25">
      <c r="B44" s="1845">
        <v>1</v>
      </c>
      <c r="C44" s="1848" t="s">
        <v>239</v>
      </c>
      <c r="D44" s="1848" t="s">
        <v>84</v>
      </c>
      <c r="E44" s="2358">
        <v>18</v>
      </c>
      <c r="F44" s="2358" t="s">
        <v>84</v>
      </c>
      <c r="G44" s="1846">
        <v>5</v>
      </c>
      <c r="H44" s="1846">
        <v>2</v>
      </c>
      <c r="I44" s="1846">
        <v>2</v>
      </c>
      <c r="J44" s="1846"/>
      <c r="K44" s="1846"/>
      <c r="L44" s="2374" t="s">
        <v>64</v>
      </c>
      <c r="M44" s="1029"/>
      <c r="N44" s="1836"/>
      <c r="O44" s="1836"/>
      <c r="P44" s="2421">
        <f>P45+P55+P77+P89+P99+P95</f>
        <v>655947000</v>
      </c>
      <c r="Q44" s="2258"/>
      <c r="R44" s="881"/>
      <c r="S44" s="881"/>
      <c r="T44" s="1322">
        <f>T45+T55+T77+T85+T89+T95+T99</f>
        <v>802023500</v>
      </c>
      <c r="U44" s="756">
        <f t="shared" ref="U44:U53" si="3">SUM(T44)-P44</f>
        <v>146076500</v>
      </c>
      <c r="V44" s="761"/>
    </row>
    <row r="45" spans="2:22" x14ac:dyDescent="0.25">
      <c r="B45" s="1845">
        <v>1</v>
      </c>
      <c r="C45" s="1848" t="s">
        <v>239</v>
      </c>
      <c r="D45" s="1848" t="s">
        <v>84</v>
      </c>
      <c r="E45" s="2358">
        <v>18</v>
      </c>
      <c r="F45" s="2358" t="s">
        <v>84</v>
      </c>
      <c r="G45" s="1846">
        <v>5</v>
      </c>
      <c r="H45" s="1846">
        <v>2</v>
      </c>
      <c r="I45" s="1846">
        <v>2</v>
      </c>
      <c r="J45" s="1848" t="s">
        <v>84</v>
      </c>
      <c r="K45" s="1846"/>
      <c r="L45" s="2375" t="s">
        <v>55</v>
      </c>
      <c r="M45" s="1029"/>
      <c r="N45" s="2376"/>
      <c r="O45" s="2376"/>
      <c r="P45" s="2421">
        <f>P46</f>
        <v>8638000</v>
      </c>
      <c r="Q45" s="2258"/>
      <c r="R45" s="1030"/>
      <c r="S45" s="1030"/>
      <c r="T45" s="1322">
        <f>T46</f>
        <v>463500</v>
      </c>
      <c r="U45" s="756">
        <f t="shared" si="3"/>
        <v>-8174500</v>
      </c>
      <c r="V45" s="761"/>
    </row>
    <row r="46" spans="2:22" x14ac:dyDescent="0.25">
      <c r="B46" s="1845">
        <v>1</v>
      </c>
      <c r="C46" s="1848" t="s">
        <v>239</v>
      </c>
      <c r="D46" s="1848" t="s">
        <v>84</v>
      </c>
      <c r="E46" s="2358">
        <v>18</v>
      </c>
      <c r="F46" s="2358" t="s">
        <v>84</v>
      </c>
      <c r="G46" s="1846">
        <v>5</v>
      </c>
      <c r="H46" s="1846">
        <v>2</v>
      </c>
      <c r="I46" s="1846">
        <v>2</v>
      </c>
      <c r="J46" s="1848" t="s">
        <v>84</v>
      </c>
      <c r="K46" s="1848" t="s">
        <v>84</v>
      </c>
      <c r="L46" s="2377" t="s">
        <v>70</v>
      </c>
      <c r="M46" s="1029"/>
      <c r="N46" s="1836"/>
      <c r="O46" s="1836"/>
      <c r="P46" s="1837">
        <f>SUM(P47:P53)</f>
        <v>8638000</v>
      </c>
      <c r="Q46" s="2258"/>
      <c r="R46" s="881"/>
      <c r="S46" s="881"/>
      <c r="T46" s="1013">
        <f>SUM(T47:T53)</f>
        <v>463500</v>
      </c>
      <c r="U46" s="756">
        <f t="shared" si="3"/>
        <v>-8174500</v>
      </c>
      <c r="V46" s="761"/>
    </row>
    <row r="47" spans="2:22" x14ac:dyDescent="0.25">
      <c r="B47" s="2378"/>
      <c r="C47" s="2379"/>
      <c r="D47" s="2379"/>
      <c r="E47" s="2380"/>
      <c r="F47" s="2380"/>
      <c r="G47" s="2381"/>
      <c r="H47" s="2381"/>
      <c r="I47" s="2381"/>
      <c r="J47" s="2379"/>
      <c r="K47" s="2379"/>
      <c r="L47" s="2382" t="s">
        <v>762</v>
      </c>
      <c r="M47" s="1029">
        <v>2</v>
      </c>
      <c r="N47" s="1836" t="s">
        <v>89</v>
      </c>
      <c r="O47" s="1837">
        <v>42500</v>
      </c>
      <c r="P47" s="1837">
        <f t="shared" ref="P47:P52" si="4">O47*M47</f>
        <v>85000</v>
      </c>
      <c r="Q47" s="2258">
        <v>2</v>
      </c>
      <c r="R47" s="881" t="s">
        <v>89</v>
      </c>
      <c r="S47" s="1013">
        <v>65000</v>
      </c>
      <c r="T47" s="1013">
        <f t="shared" ref="T47:T53" si="5">S47*Q47</f>
        <v>130000</v>
      </c>
      <c r="U47" s="756">
        <f t="shared" si="3"/>
        <v>45000</v>
      </c>
      <c r="V47" s="761"/>
    </row>
    <row r="48" spans="2:22" x14ac:dyDescent="0.25">
      <c r="B48" s="2378"/>
      <c r="C48" s="2379"/>
      <c r="D48" s="2379"/>
      <c r="E48" s="2380"/>
      <c r="F48" s="2379"/>
      <c r="G48" s="2381"/>
      <c r="H48" s="2381"/>
      <c r="I48" s="2381"/>
      <c r="J48" s="2381"/>
      <c r="K48" s="2379"/>
      <c r="L48" s="2382" t="s">
        <v>763</v>
      </c>
      <c r="M48" s="1031">
        <v>4</v>
      </c>
      <c r="N48" s="1836" t="s">
        <v>445</v>
      </c>
      <c r="O48" s="1837">
        <v>35000</v>
      </c>
      <c r="P48" s="1837">
        <f t="shared" si="4"/>
        <v>140000</v>
      </c>
      <c r="Q48" s="2413">
        <v>2</v>
      </c>
      <c r="R48" s="881" t="s">
        <v>445</v>
      </c>
      <c r="S48" s="1013">
        <v>33500</v>
      </c>
      <c r="T48" s="1013">
        <f t="shared" si="5"/>
        <v>67000</v>
      </c>
      <c r="U48" s="756">
        <f t="shared" si="3"/>
        <v>-73000</v>
      </c>
      <c r="V48" s="761"/>
    </row>
    <row r="49" spans="2:22" x14ac:dyDescent="0.25">
      <c r="B49" s="1845"/>
      <c r="C49" s="1848"/>
      <c r="D49" s="1848"/>
      <c r="E49" s="2358"/>
      <c r="F49" s="1848"/>
      <c r="G49" s="1846"/>
      <c r="H49" s="1846"/>
      <c r="I49" s="1846"/>
      <c r="J49" s="1846"/>
      <c r="K49" s="1848"/>
      <c r="L49" s="2383" t="s">
        <v>764</v>
      </c>
      <c r="M49" s="1032">
        <v>1</v>
      </c>
      <c r="N49" s="2061" t="s">
        <v>61</v>
      </c>
      <c r="O49" s="2062">
        <v>170000</v>
      </c>
      <c r="P49" s="2062">
        <f t="shared" si="4"/>
        <v>170000</v>
      </c>
      <c r="Q49" s="2259"/>
      <c r="R49" s="1033"/>
      <c r="S49" s="1034"/>
      <c r="T49" s="1034">
        <f t="shared" si="5"/>
        <v>0</v>
      </c>
      <c r="U49" s="756">
        <f t="shared" si="3"/>
        <v>-170000</v>
      </c>
      <c r="V49" s="761"/>
    </row>
    <row r="50" spans="2:22" x14ac:dyDescent="0.25">
      <c r="B50" s="1845"/>
      <c r="C50" s="1848"/>
      <c r="D50" s="1848"/>
      <c r="E50" s="2358"/>
      <c r="F50" s="1848"/>
      <c r="G50" s="1846"/>
      <c r="H50" s="1846"/>
      <c r="I50" s="1846"/>
      <c r="J50" s="1846"/>
      <c r="K50" s="1848"/>
      <c r="L50" s="2384" t="s">
        <v>470</v>
      </c>
      <c r="M50" s="1032">
        <v>1</v>
      </c>
      <c r="N50" s="2061" t="s">
        <v>471</v>
      </c>
      <c r="O50" s="2062">
        <v>105000</v>
      </c>
      <c r="P50" s="2062">
        <f t="shared" si="4"/>
        <v>105000</v>
      </c>
      <c r="Q50" s="2259">
        <v>1</v>
      </c>
      <c r="R50" s="1033" t="s">
        <v>471</v>
      </c>
      <c r="S50" s="1034">
        <v>105000</v>
      </c>
      <c r="T50" s="1034">
        <f t="shared" si="5"/>
        <v>105000</v>
      </c>
      <c r="U50" s="756">
        <f t="shared" si="3"/>
        <v>0</v>
      </c>
      <c r="V50" s="761"/>
    </row>
    <row r="51" spans="2:22" x14ac:dyDescent="0.25">
      <c r="B51" s="1845"/>
      <c r="C51" s="1848"/>
      <c r="D51" s="1848"/>
      <c r="E51" s="2358"/>
      <c r="F51" s="1848"/>
      <c r="G51" s="1846"/>
      <c r="H51" s="1846"/>
      <c r="I51" s="1846"/>
      <c r="J51" s="1846"/>
      <c r="K51" s="1848"/>
      <c r="L51" s="2384" t="s">
        <v>765</v>
      </c>
      <c r="M51" s="1032">
        <v>1</v>
      </c>
      <c r="N51" s="2061" t="s">
        <v>471</v>
      </c>
      <c r="O51" s="2062">
        <v>82000</v>
      </c>
      <c r="P51" s="2062">
        <f t="shared" si="4"/>
        <v>82000</v>
      </c>
      <c r="Q51" s="2259">
        <v>1</v>
      </c>
      <c r="R51" s="1033" t="s">
        <v>471</v>
      </c>
      <c r="S51" s="1034">
        <v>117000</v>
      </c>
      <c r="T51" s="1034">
        <f t="shared" si="5"/>
        <v>117000</v>
      </c>
      <c r="U51" s="756">
        <f t="shared" si="3"/>
        <v>35000</v>
      </c>
      <c r="V51" s="761"/>
    </row>
    <row r="52" spans="2:22" ht="12.65" customHeight="1" x14ac:dyDescent="0.25">
      <c r="B52" s="1845"/>
      <c r="C52" s="1848"/>
      <c r="D52" s="1848"/>
      <c r="E52" s="2358"/>
      <c r="F52" s="1848"/>
      <c r="G52" s="1846"/>
      <c r="H52" s="1846"/>
      <c r="I52" s="1846"/>
      <c r="J52" s="1846"/>
      <c r="K52" s="1848"/>
      <c r="L52" s="2384" t="s">
        <v>766</v>
      </c>
      <c r="M52" s="1032">
        <v>2</v>
      </c>
      <c r="N52" s="2061" t="s">
        <v>462</v>
      </c>
      <c r="O52" s="2062">
        <v>28000</v>
      </c>
      <c r="P52" s="2062">
        <f t="shared" si="4"/>
        <v>56000</v>
      </c>
      <c r="Q52" s="2259">
        <v>1</v>
      </c>
      <c r="R52" s="1033" t="s">
        <v>462</v>
      </c>
      <c r="S52" s="1034">
        <v>28000</v>
      </c>
      <c r="T52" s="1034">
        <f t="shared" si="5"/>
        <v>28000</v>
      </c>
      <c r="U52" s="756">
        <f t="shared" si="3"/>
        <v>-28000</v>
      </c>
      <c r="V52" s="761"/>
    </row>
    <row r="53" spans="2:22" x14ac:dyDescent="0.25">
      <c r="B53" s="1845"/>
      <c r="C53" s="1848"/>
      <c r="D53" s="1848"/>
      <c r="E53" s="2358"/>
      <c r="F53" s="1848"/>
      <c r="G53" s="1846"/>
      <c r="H53" s="1846"/>
      <c r="I53" s="1846"/>
      <c r="J53" s="1846"/>
      <c r="K53" s="1848"/>
      <c r="L53" s="2385" t="s">
        <v>767</v>
      </c>
      <c r="M53" s="1029">
        <v>100</v>
      </c>
      <c r="N53" s="2070" t="s">
        <v>445</v>
      </c>
      <c r="O53" s="2078">
        <v>80000</v>
      </c>
      <c r="P53" s="2422">
        <f>M53*O53</f>
        <v>8000000</v>
      </c>
      <c r="Q53" s="2259">
        <v>1</v>
      </c>
      <c r="R53" s="1033" t="s">
        <v>462</v>
      </c>
      <c r="S53" s="1034">
        <v>16500</v>
      </c>
      <c r="T53" s="1034">
        <f t="shared" si="5"/>
        <v>16500</v>
      </c>
      <c r="U53" s="756">
        <f t="shared" si="3"/>
        <v>-7983500</v>
      </c>
      <c r="V53" s="761"/>
    </row>
    <row r="54" spans="2:22" x14ac:dyDescent="0.25">
      <c r="B54" s="1845"/>
      <c r="C54" s="1848"/>
      <c r="D54" s="1848"/>
      <c r="E54" s="2358"/>
      <c r="F54" s="1848"/>
      <c r="G54" s="1846"/>
      <c r="H54" s="1846"/>
      <c r="I54" s="1846"/>
      <c r="J54" s="1846"/>
      <c r="K54" s="1848"/>
      <c r="L54" s="2425"/>
      <c r="M54" s="1032"/>
      <c r="N54" s="1033"/>
      <c r="O54" s="1034"/>
      <c r="P54" s="1034"/>
      <c r="Q54" s="2259"/>
      <c r="R54" s="1033"/>
      <c r="S54" s="1034"/>
      <c r="T54" s="1034"/>
      <c r="U54" s="756"/>
      <c r="V54" s="761"/>
    </row>
    <row r="55" spans="2:22" x14ac:dyDescent="0.25">
      <c r="B55" s="1845">
        <v>1</v>
      </c>
      <c r="C55" s="1848" t="s">
        <v>239</v>
      </c>
      <c r="D55" s="1848" t="s">
        <v>84</v>
      </c>
      <c r="E55" s="2358">
        <v>18</v>
      </c>
      <c r="F55" s="2358" t="s">
        <v>84</v>
      </c>
      <c r="G55" s="1846">
        <v>5</v>
      </c>
      <c r="H55" s="1846">
        <v>2</v>
      </c>
      <c r="I55" s="1846">
        <v>2</v>
      </c>
      <c r="J55" s="1848" t="s">
        <v>97</v>
      </c>
      <c r="K55" s="1846"/>
      <c r="L55" s="2386" t="s">
        <v>57</v>
      </c>
      <c r="M55" s="1037"/>
      <c r="N55" s="2363"/>
      <c r="O55" s="2387"/>
      <c r="P55" s="2387">
        <f>P56+P70</f>
        <v>491980000</v>
      </c>
      <c r="Q55" s="2414"/>
      <c r="R55" s="1323"/>
      <c r="S55" s="1324"/>
      <c r="T55" s="1324">
        <f>T56+T70</f>
        <v>454168000</v>
      </c>
      <c r="U55" s="756">
        <f t="shared" ref="U55:U60" si="6">SUM(T55)-P55</f>
        <v>-37812000</v>
      </c>
      <c r="V55" s="761"/>
    </row>
    <row r="56" spans="2:22" x14ac:dyDescent="0.25">
      <c r="B56" s="1003">
        <v>1</v>
      </c>
      <c r="C56" s="1004" t="s">
        <v>239</v>
      </c>
      <c r="D56" s="1004" t="s">
        <v>84</v>
      </c>
      <c r="E56" s="1005">
        <v>18</v>
      </c>
      <c r="F56" s="1005" t="s">
        <v>84</v>
      </c>
      <c r="G56" s="1006">
        <v>5</v>
      </c>
      <c r="H56" s="1006">
        <v>2</v>
      </c>
      <c r="I56" s="1006">
        <v>2</v>
      </c>
      <c r="J56" s="1004" t="s">
        <v>97</v>
      </c>
      <c r="K56" s="1004">
        <v>12</v>
      </c>
      <c r="L56" s="1844" t="s">
        <v>141</v>
      </c>
      <c r="M56" s="1009"/>
      <c r="N56" s="1010"/>
      <c r="O56" s="1039"/>
      <c r="P56" s="1047">
        <f>SUM(P57+P64)</f>
        <v>489940000</v>
      </c>
      <c r="Q56" s="2254"/>
      <c r="R56" s="1010"/>
      <c r="S56" s="1039"/>
      <c r="T56" s="1047">
        <f>T57+T61+T64</f>
        <v>451168000</v>
      </c>
      <c r="U56" s="756">
        <f t="shared" si="6"/>
        <v>-38772000</v>
      </c>
      <c r="V56" s="761"/>
    </row>
    <row r="57" spans="2:22" x14ac:dyDescent="0.25">
      <c r="B57" s="1845"/>
      <c r="C57" s="1846"/>
      <c r="D57" s="1846"/>
      <c r="E57" s="1846"/>
      <c r="F57" s="1846"/>
      <c r="G57" s="1846"/>
      <c r="H57" s="1846"/>
      <c r="I57" s="1847"/>
      <c r="J57" s="1847"/>
      <c r="K57" s="1848"/>
      <c r="L57" s="1851" t="s">
        <v>1240</v>
      </c>
      <c r="M57" s="1029"/>
      <c r="N57" s="1836"/>
      <c r="O57" s="1852"/>
      <c r="P57" s="1837">
        <f>SUM(P58:P63)</f>
        <v>103540000</v>
      </c>
      <c r="Q57" s="2258"/>
      <c r="R57" s="881"/>
      <c r="S57" s="1040"/>
      <c r="T57" s="1013">
        <f>SUM(T58:T60)</f>
        <v>36868000</v>
      </c>
      <c r="U57" s="756">
        <f t="shared" si="6"/>
        <v>-66672000</v>
      </c>
      <c r="V57" s="761"/>
    </row>
    <row r="58" spans="2:22" x14ac:dyDescent="0.25">
      <c r="B58" s="1845"/>
      <c r="C58" s="1846"/>
      <c r="D58" s="1846"/>
      <c r="E58" s="1846"/>
      <c r="F58" s="1846"/>
      <c r="G58" s="1846"/>
      <c r="H58" s="1846"/>
      <c r="I58" s="1847"/>
      <c r="J58" s="1847"/>
      <c r="K58" s="1848"/>
      <c r="L58" s="1851" t="s">
        <v>768</v>
      </c>
      <c r="M58" s="1029">
        <v>480</v>
      </c>
      <c r="N58" s="1836" t="s">
        <v>56</v>
      </c>
      <c r="O58" s="1852">
        <v>45000</v>
      </c>
      <c r="P58" s="1837">
        <f>O58*M58</f>
        <v>21600000</v>
      </c>
      <c r="Q58" s="2258">
        <v>416</v>
      </c>
      <c r="R58" s="881" t="s">
        <v>56</v>
      </c>
      <c r="S58" s="1040">
        <v>45000</v>
      </c>
      <c r="T58" s="1013">
        <f>S58*Q58</f>
        <v>18720000</v>
      </c>
      <c r="U58" s="756">
        <f t="shared" si="6"/>
        <v>-2880000</v>
      </c>
      <c r="V58" s="761"/>
    </row>
    <row r="59" spans="2:22" x14ac:dyDescent="0.25">
      <c r="B59" s="1845"/>
      <c r="C59" s="1846"/>
      <c r="D59" s="1846"/>
      <c r="E59" s="1846"/>
      <c r="F59" s="1846"/>
      <c r="G59" s="1846"/>
      <c r="H59" s="1846"/>
      <c r="I59" s="1847"/>
      <c r="J59" s="1847"/>
      <c r="K59" s="1848"/>
      <c r="L59" s="1851" t="s">
        <v>769</v>
      </c>
      <c r="M59" s="1029">
        <v>480</v>
      </c>
      <c r="N59" s="1836" t="s">
        <v>56</v>
      </c>
      <c r="O59" s="1852">
        <v>28000</v>
      </c>
      <c r="P59" s="1837">
        <f>O59*M59</f>
        <v>13440000</v>
      </c>
      <c r="Q59" s="2258">
        <v>416</v>
      </c>
      <c r="R59" s="881" t="s">
        <v>56</v>
      </c>
      <c r="S59" s="1040">
        <v>28000</v>
      </c>
      <c r="T59" s="1013">
        <f>S59*Q59</f>
        <v>11648000</v>
      </c>
      <c r="U59" s="756">
        <f t="shared" si="6"/>
        <v>-1792000</v>
      </c>
      <c r="V59" s="439"/>
    </row>
    <row r="60" spans="2:22" x14ac:dyDescent="0.25">
      <c r="B60" s="1845"/>
      <c r="C60" s="1846"/>
      <c r="D60" s="1846"/>
      <c r="E60" s="1846"/>
      <c r="F60" s="1846"/>
      <c r="G60" s="1846"/>
      <c r="H60" s="1846"/>
      <c r="I60" s="1847"/>
      <c r="J60" s="1847"/>
      <c r="K60" s="1848"/>
      <c r="L60" s="1851" t="s">
        <v>1229</v>
      </c>
      <c r="M60" s="1029">
        <v>6</v>
      </c>
      <c r="N60" s="1836" t="s">
        <v>462</v>
      </c>
      <c r="O60" s="1852">
        <v>6500000</v>
      </c>
      <c r="P60" s="1837">
        <f>O60*M60</f>
        <v>39000000</v>
      </c>
      <c r="Q60" s="2258">
        <v>1</v>
      </c>
      <c r="R60" s="881" t="s">
        <v>462</v>
      </c>
      <c r="S60" s="1040">
        <v>6500000</v>
      </c>
      <c r="T60" s="1013">
        <f>S60*Q60</f>
        <v>6500000</v>
      </c>
      <c r="U60" s="756">
        <f t="shared" si="6"/>
        <v>-32500000</v>
      </c>
      <c r="V60" s="439"/>
    </row>
    <row r="61" spans="2:22" x14ac:dyDescent="0.25">
      <c r="B61" s="1845"/>
      <c r="C61" s="1846"/>
      <c r="D61" s="1846"/>
      <c r="E61" s="1846"/>
      <c r="F61" s="1846"/>
      <c r="G61" s="1846"/>
      <c r="H61" s="1846"/>
      <c r="I61" s="1847"/>
      <c r="J61" s="1847"/>
      <c r="K61" s="1848"/>
      <c r="L61" s="1851" t="s">
        <v>1239</v>
      </c>
      <c r="M61" s="1029"/>
      <c r="N61" s="1836"/>
      <c r="O61" s="1852"/>
      <c r="P61" s="1837"/>
      <c r="Q61" s="2258"/>
      <c r="R61" s="881"/>
      <c r="S61" s="1040"/>
      <c r="T61" s="1013">
        <f>SUM(T62:T63)</f>
        <v>29500000</v>
      </c>
      <c r="U61" s="756"/>
      <c r="V61" s="439"/>
    </row>
    <row r="62" spans="2:22" x14ac:dyDescent="0.25">
      <c r="B62" s="1845"/>
      <c r="C62" s="1846"/>
      <c r="D62" s="1846"/>
      <c r="E62" s="1846"/>
      <c r="F62" s="1846"/>
      <c r="G62" s="1846"/>
      <c r="H62" s="1846"/>
      <c r="I62" s="1847"/>
      <c r="J62" s="1847"/>
      <c r="K62" s="1848"/>
      <c r="L62" s="1851" t="s">
        <v>770</v>
      </c>
      <c r="M62" s="1029">
        <v>500</v>
      </c>
      <c r="N62" s="1836" t="s">
        <v>56</v>
      </c>
      <c r="O62" s="1852">
        <v>45000</v>
      </c>
      <c r="P62" s="1837">
        <f>O62*M62</f>
        <v>22500000</v>
      </c>
      <c r="Q62" s="2258">
        <v>500</v>
      </c>
      <c r="R62" s="881" t="s">
        <v>56</v>
      </c>
      <c r="S62" s="1040">
        <v>45000</v>
      </c>
      <c r="T62" s="1013">
        <f>S62*Q62</f>
        <v>22500000</v>
      </c>
      <c r="U62" s="756">
        <f t="shared" ref="U62:U66" si="7">SUM(T62)-P62</f>
        <v>0</v>
      </c>
      <c r="V62" s="439"/>
    </row>
    <row r="63" spans="2:22" x14ac:dyDescent="0.25">
      <c r="B63" s="1845"/>
      <c r="C63" s="1846"/>
      <c r="D63" s="1846"/>
      <c r="E63" s="1846"/>
      <c r="F63" s="1846"/>
      <c r="G63" s="1846"/>
      <c r="H63" s="1846"/>
      <c r="I63" s="1847"/>
      <c r="J63" s="1847"/>
      <c r="K63" s="1848"/>
      <c r="L63" s="1851" t="s">
        <v>771</v>
      </c>
      <c r="M63" s="1029">
        <v>125</v>
      </c>
      <c r="N63" s="1836" t="s">
        <v>231</v>
      </c>
      <c r="O63" s="1852">
        <v>56000</v>
      </c>
      <c r="P63" s="1837">
        <f>O63*M63</f>
        <v>7000000</v>
      </c>
      <c r="Q63" s="2258">
        <v>125</v>
      </c>
      <c r="R63" s="881" t="s">
        <v>56</v>
      </c>
      <c r="S63" s="1040">
        <v>56000</v>
      </c>
      <c r="T63" s="1013">
        <f>S63*Q63</f>
        <v>7000000</v>
      </c>
      <c r="U63" s="756">
        <f t="shared" si="7"/>
        <v>0</v>
      </c>
      <c r="V63" s="439"/>
    </row>
    <row r="64" spans="2:22" x14ac:dyDescent="0.25">
      <c r="B64" s="1845"/>
      <c r="C64" s="1846"/>
      <c r="D64" s="1846"/>
      <c r="E64" s="1846"/>
      <c r="F64" s="1846"/>
      <c r="G64" s="1846"/>
      <c r="H64" s="1846"/>
      <c r="I64" s="1847"/>
      <c r="J64" s="1847"/>
      <c r="K64" s="1848"/>
      <c r="L64" s="1851" t="s">
        <v>1230</v>
      </c>
      <c r="M64" s="1029"/>
      <c r="N64" s="1836"/>
      <c r="O64" s="1852"/>
      <c r="P64" s="1837">
        <f>SUM(P65:P67)</f>
        <v>386400000</v>
      </c>
      <c r="Q64" s="2258"/>
      <c r="R64" s="881"/>
      <c r="S64" s="1040"/>
      <c r="T64" s="1013">
        <f>SUM(T65:T68)</f>
        <v>384800000</v>
      </c>
      <c r="U64" s="756">
        <f t="shared" si="7"/>
        <v>-1600000</v>
      </c>
      <c r="V64" s="439"/>
    </row>
    <row r="65" spans="2:22" x14ac:dyDescent="0.25">
      <c r="B65" s="1845"/>
      <c r="C65" s="1846"/>
      <c r="D65" s="1846"/>
      <c r="E65" s="1846"/>
      <c r="F65" s="1846"/>
      <c r="G65" s="1846"/>
      <c r="H65" s="1846"/>
      <c r="I65" s="1847"/>
      <c r="J65" s="1847"/>
      <c r="K65" s="1848"/>
      <c r="L65" s="1851" t="s">
        <v>472</v>
      </c>
      <c r="M65" s="1029">
        <v>1</v>
      </c>
      <c r="N65" s="1836" t="s">
        <v>2</v>
      </c>
      <c r="O65" s="1852">
        <v>2400000</v>
      </c>
      <c r="P65" s="1837">
        <f>O65*M65</f>
        <v>2400000</v>
      </c>
      <c r="Q65" s="2258">
        <v>1</v>
      </c>
      <c r="R65" s="881" t="s">
        <v>2</v>
      </c>
      <c r="S65" s="1040">
        <v>800000</v>
      </c>
      <c r="T65" s="1013">
        <f>S65*Q65</f>
        <v>800000</v>
      </c>
      <c r="U65" s="756">
        <f t="shared" si="7"/>
        <v>-1600000</v>
      </c>
      <c r="V65" s="439"/>
    </row>
    <row r="66" spans="2:22" x14ac:dyDescent="0.25">
      <c r="B66" s="1845"/>
      <c r="C66" s="1846"/>
      <c r="D66" s="1846"/>
      <c r="E66" s="1846"/>
      <c r="F66" s="1846"/>
      <c r="G66" s="1846"/>
      <c r="H66" s="1846"/>
      <c r="I66" s="1847"/>
      <c r="J66" s="1847"/>
      <c r="K66" s="1848"/>
      <c r="L66" s="1851" t="s">
        <v>772</v>
      </c>
      <c r="M66" s="1029">
        <v>1</v>
      </c>
      <c r="N66" s="1836" t="s">
        <v>2</v>
      </c>
      <c r="O66" s="1852">
        <v>24000000</v>
      </c>
      <c r="P66" s="1837">
        <f>O66*M66</f>
        <v>24000000</v>
      </c>
      <c r="Q66" s="2258">
        <v>1</v>
      </c>
      <c r="R66" s="881" t="s">
        <v>2</v>
      </c>
      <c r="S66" s="1040">
        <v>24000000</v>
      </c>
      <c r="T66" s="1013">
        <f>S66*Q66</f>
        <v>24000000</v>
      </c>
      <c r="U66" s="756">
        <f t="shared" si="7"/>
        <v>0</v>
      </c>
      <c r="V66" s="439"/>
    </row>
    <row r="67" spans="2:22" ht="25" x14ac:dyDescent="0.25">
      <c r="B67" s="1845"/>
      <c r="C67" s="1846"/>
      <c r="D67" s="1846"/>
      <c r="E67" s="1846"/>
      <c r="F67" s="1846"/>
      <c r="G67" s="1846"/>
      <c r="H67" s="1846"/>
      <c r="I67" s="1847"/>
      <c r="J67" s="1847"/>
      <c r="K67" s="1848"/>
      <c r="L67" s="1851" t="s">
        <v>773</v>
      </c>
      <c r="M67" s="1029">
        <f>10*12</f>
        <v>120</v>
      </c>
      <c r="N67" s="881" t="s">
        <v>100</v>
      </c>
      <c r="O67" s="1040">
        <v>3000000</v>
      </c>
      <c r="P67" s="1013">
        <f>O67*M67</f>
        <v>360000000</v>
      </c>
      <c r="Q67" s="2258">
        <f>10*12</f>
        <v>120</v>
      </c>
      <c r="R67" s="881" t="s">
        <v>100</v>
      </c>
      <c r="S67" s="1040">
        <v>2200000</v>
      </c>
      <c r="T67" s="1013">
        <f>S67*Q67</f>
        <v>264000000</v>
      </c>
      <c r="U67" s="756"/>
      <c r="V67" s="761"/>
    </row>
    <row r="68" spans="2:22" x14ac:dyDescent="0.25">
      <c r="B68" s="1845"/>
      <c r="C68" s="1846"/>
      <c r="D68" s="1846"/>
      <c r="E68" s="1846"/>
      <c r="F68" s="1846"/>
      <c r="G68" s="1846"/>
      <c r="H68" s="1846"/>
      <c r="I68" s="1847"/>
      <c r="J68" s="1847"/>
      <c r="K68" s="1848"/>
      <c r="L68" s="1851" t="s">
        <v>1238</v>
      </c>
      <c r="M68" s="1029"/>
      <c r="N68" s="881"/>
      <c r="O68" s="1040"/>
      <c r="P68" s="1013"/>
      <c r="Q68" s="2258">
        <v>12</v>
      </c>
      <c r="R68" s="881" t="s">
        <v>960</v>
      </c>
      <c r="S68" s="1040">
        <v>8000000</v>
      </c>
      <c r="T68" s="1013">
        <f>S68*Q68</f>
        <v>96000000</v>
      </c>
      <c r="U68" s="756"/>
      <c r="V68" s="761"/>
    </row>
    <row r="69" spans="2:22" x14ac:dyDescent="0.25">
      <c r="B69" s="1845"/>
      <c r="C69" s="1846"/>
      <c r="D69" s="1846"/>
      <c r="E69" s="1846"/>
      <c r="F69" s="1846"/>
      <c r="G69" s="1846"/>
      <c r="H69" s="1846"/>
      <c r="I69" s="1847"/>
      <c r="J69" s="1847"/>
      <c r="K69" s="1848"/>
      <c r="L69" s="2388"/>
      <c r="M69" s="855"/>
      <c r="N69" s="856"/>
      <c r="O69" s="857"/>
      <c r="P69" s="857"/>
      <c r="Q69" s="2258"/>
      <c r="R69" s="881"/>
      <c r="S69" s="1040"/>
      <c r="T69" s="1013"/>
      <c r="U69" s="756"/>
      <c r="V69" s="761"/>
    </row>
    <row r="70" spans="2:22" x14ac:dyDescent="0.25">
      <c r="B70" s="2196">
        <v>1</v>
      </c>
      <c r="C70" s="1848" t="s">
        <v>239</v>
      </c>
      <c r="D70" s="1142" t="s">
        <v>84</v>
      </c>
      <c r="E70" s="2197">
        <v>18</v>
      </c>
      <c r="F70" s="2197" t="s">
        <v>84</v>
      </c>
      <c r="G70" s="1052">
        <v>5</v>
      </c>
      <c r="H70" s="1052">
        <v>2</v>
      </c>
      <c r="I70" s="1052">
        <v>2</v>
      </c>
      <c r="J70" s="1142" t="s">
        <v>97</v>
      </c>
      <c r="K70" s="1142">
        <v>27</v>
      </c>
      <c r="L70" s="2389" t="s">
        <v>210</v>
      </c>
      <c r="M70" s="1041"/>
      <c r="N70" s="2070"/>
      <c r="O70" s="2070"/>
      <c r="P70" s="2078">
        <f>SUM(P71)</f>
        <v>2040000</v>
      </c>
      <c r="Q70" s="2415"/>
      <c r="R70" s="1035"/>
      <c r="S70" s="1035"/>
      <c r="T70" s="1036">
        <f>SUM(T71)</f>
        <v>3000000</v>
      </c>
      <c r="U70" s="756">
        <f t="shared" ref="U70:U71" si="8">SUM(T70)-P70</f>
        <v>960000</v>
      </c>
      <c r="V70" s="761"/>
    </row>
    <row r="71" spans="2:22" x14ac:dyDescent="0.25">
      <c r="B71" s="2196"/>
      <c r="C71" s="1848"/>
      <c r="D71" s="1142"/>
      <c r="E71" s="2197"/>
      <c r="F71" s="2197"/>
      <c r="G71" s="1052"/>
      <c r="H71" s="1052"/>
      <c r="I71" s="1052"/>
      <c r="J71" s="1142"/>
      <c r="K71" s="1142"/>
      <c r="L71" s="2389" t="s">
        <v>774</v>
      </c>
      <c r="M71" s="1041"/>
      <c r="N71" s="2070"/>
      <c r="O71" s="2070"/>
      <c r="P71" s="2078">
        <f>SUM(P72:P75)</f>
        <v>2040000</v>
      </c>
      <c r="Q71" s="2415"/>
      <c r="R71" s="1035"/>
      <c r="S71" s="1035"/>
      <c r="T71" s="1036">
        <f>SUM(T72:T75)</f>
        <v>3000000</v>
      </c>
      <c r="U71" s="756">
        <f t="shared" si="8"/>
        <v>960000</v>
      </c>
      <c r="V71" s="761"/>
    </row>
    <row r="72" spans="2:22" ht="25" x14ac:dyDescent="0.25">
      <c r="B72" s="2196"/>
      <c r="C72" s="1142"/>
      <c r="D72" s="1142"/>
      <c r="E72" s="2197"/>
      <c r="F72" s="1142"/>
      <c r="G72" s="1052"/>
      <c r="H72" s="1052"/>
      <c r="I72" s="1052"/>
      <c r="J72" s="1142"/>
      <c r="K72" s="1142"/>
      <c r="L72" s="2390" t="s">
        <v>1231</v>
      </c>
      <c r="M72" s="1026">
        <f>3*1</f>
        <v>3</v>
      </c>
      <c r="N72" s="1035" t="s">
        <v>454</v>
      </c>
      <c r="O72" s="1036">
        <v>300000</v>
      </c>
      <c r="P72" s="1036">
        <f>O72*M72</f>
        <v>900000</v>
      </c>
      <c r="Q72" s="2412"/>
      <c r="R72" s="1035"/>
      <c r="S72" s="1036"/>
      <c r="T72" s="1036"/>
      <c r="U72" s="756"/>
      <c r="V72" s="761"/>
    </row>
    <row r="73" spans="2:22" ht="25" x14ac:dyDescent="0.25">
      <c r="B73" s="2196"/>
      <c r="C73" s="1142"/>
      <c r="D73" s="1142"/>
      <c r="E73" s="2197"/>
      <c r="F73" s="1142"/>
      <c r="G73" s="1052"/>
      <c r="H73" s="1052"/>
      <c r="I73" s="1052"/>
      <c r="J73" s="1142"/>
      <c r="K73" s="1142"/>
      <c r="L73" s="2390" t="s">
        <v>1232</v>
      </c>
      <c r="M73" s="1026">
        <f>1*3</f>
        <v>3</v>
      </c>
      <c r="N73" s="1035" t="s">
        <v>454</v>
      </c>
      <c r="O73" s="1036">
        <v>250000</v>
      </c>
      <c r="P73" s="1036">
        <f>O73*M73</f>
        <v>750000</v>
      </c>
      <c r="Q73" s="2412">
        <f>2*2*3</f>
        <v>12</v>
      </c>
      <c r="R73" s="1035" t="s">
        <v>454</v>
      </c>
      <c r="S73" s="1036">
        <v>250000</v>
      </c>
      <c r="T73" s="1036">
        <f>S73*Q73</f>
        <v>3000000</v>
      </c>
      <c r="U73" s="756">
        <f t="shared" ref="U73" si="9">SUM(T73)-P73</f>
        <v>2250000</v>
      </c>
      <c r="V73" s="761"/>
    </row>
    <row r="74" spans="2:22" x14ac:dyDescent="0.25">
      <c r="B74" s="1845"/>
      <c r="C74" s="1846"/>
      <c r="D74" s="1846"/>
      <c r="E74" s="1846"/>
      <c r="F74" s="1846"/>
      <c r="G74" s="1846"/>
      <c r="H74" s="1846"/>
      <c r="I74" s="1847"/>
      <c r="J74" s="1847"/>
      <c r="K74" s="1848"/>
      <c r="L74" s="2390" t="s">
        <v>1233</v>
      </c>
      <c r="M74" s="1026">
        <f>1*6</f>
        <v>6</v>
      </c>
      <c r="N74" s="2070" t="s">
        <v>454</v>
      </c>
      <c r="O74" s="2078">
        <v>35000</v>
      </c>
      <c r="P74" s="2078">
        <f>O74*M74</f>
        <v>210000</v>
      </c>
      <c r="Q74" s="2415"/>
      <c r="R74" s="1035"/>
      <c r="S74" s="1035"/>
      <c r="T74" s="1036"/>
      <c r="U74" s="756"/>
      <c r="V74" s="761"/>
    </row>
    <row r="75" spans="2:22" x14ac:dyDescent="0.25">
      <c r="B75" s="1845"/>
      <c r="C75" s="1846"/>
      <c r="D75" s="1846"/>
      <c r="E75" s="1846"/>
      <c r="F75" s="1846"/>
      <c r="G75" s="1846"/>
      <c r="H75" s="1846"/>
      <c r="I75" s="1847"/>
      <c r="J75" s="1847"/>
      <c r="K75" s="1848"/>
      <c r="L75" s="2390" t="s">
        <v>1234</v>
      </c>
      <c r="M75" s="1026">
        <f>1*6</f>
        <v>6</v>
      </c>
      <c r="N75" s="1035" t="s">
        <v>454</v>
      </c>
      <c r="O75" s="1036">
        <v>30000</v>
      </c>
      <c r="P75" s="1036">
        <f>O75*M75</f>
        <v>180000</v>
      </c>
      <c r="Q75" s="2412"/>
      <c r="R75" s="1035"/>
      <c r="S75" s="1036"/>
      <c r="T75" s="1036"/>
      <c r="U75" s="756"/>
      <c r="V75" s="761"/>
    </row>
    <row r="76" spans="2:22" x14ac:dyDescent="0.25">
      <c r="B76" s="1845"/>
      <c r="C76" s="1846"/>
      <c r="D76" s="1846"/>
      <c r="E76" s="1846"/>
      <c r="F76" s="1846"/>
      <c r="G76" s="1846"/>
      <c r="H76" s="1846"/>
      <c r="I76" s="1847"/>
      <c r="J76" s="1847"/>
      <c r="K76" s="1848"/>
      <c r="L76" s="2391"/>
      <c r="M76" s="1025"/>
      <c r="N76" s="1057"/>
      <c r="O76" s="2226"/>
      <c r="P76" s="2226"/>
      <c r="Q76" s="2411"/>
      <c r="R76" s="1020"/>
      <c r="S76" s="1042"/>
      <c r="T76" s="1042"/>
      <c r="U76" s="756"/>
      <c r="V76" s="761"/>
    </row>
    <row r="77" spans="2:22" x14ac:dyDescent="0.25">
      <c r="B77" s="1845">
        <v>1</v>
      </c>
      <c r="C77" s="1848" t="s">
        <v>239</v>
      </c>
      <c r="D77" s="1848" t="s">
        <v>84</v>
      </c>
      <c r="E77" s="2358">
        <v>18</v>
      </c>
      <c r="F77" s="2358" t="s">
        <v>84</v>
      </c>
      <c r="G77" s="1846">
        <v>5</v>
      </c>
      <c r="H77" s="1846">
        <v>2</v>
      </c>
      <c r="I77" s="1846">
        <v>2</v>
      </c>
      <c r="J77" s="1848" t="s">
        <v>86</v>
      </c>
      <c r="K77" s="1846"/>
      <c r="L77" s="2375" t="s">
        <v>60</v>
      </c>
      <c r="M77" s="1029"/>
      <c r="N77" s="2376"/>
      <c r="O77" s="2376"/>
      <c r="P77" s="2421">
        <f>P78+P81</f>
        <v>2134000</v>
      </c>
      <c r="Q77" s="2258"/>
      <c r="R77" s="1030"/>
      <c r="S77" s="1030"/>
      <c r="T77" s="1322">
        <f>T78+T81</f>
        <v>1042000</v>
      </c>
      <c r="U77" s="756">
        <f t="shared" ref="U77:U79" si="10">SUM(T77)-P77</f>
        <v>-1092000</v>
      </c>
      <c r="V77" s="761"/>
    </row>
    <row r="78" spans="2:22" x14ac:dyDescent="0.25">
      <c r="B78" s="2196">
        <v>1</v>
      </c>
      <c r="C78" s="1142" t="s">
        <v>239</v>
      </c>
      <c r="D78" s="1142" t="s">
        <v>84</v>
      </c>
      <c r="E78" s="2197">
        <v>18</v>
      </c>
      <c r="F78" s="2197" t="s">
        <v>87</v>
      </c>
      <c r="G78" s="1052">
        <v>5</v>
      </c>
      <c r="H78" s="1052">
        <v>2</v>
      </c>
      <c r="I78" s="1052">
        <v>2</v>
      </c>
      <c r="J78" s="1142" t="s">
        <v>86</v>
      </c>
      <c r="K78" s="1142" t="s">
        <v>84</v>
      </c>
      <c r="L78" s="2392" t="s">
        <v>77</v>
      </c>
      <c r="M78" s="1043"/>
      <c r="N78" s="1057"/>
      <c r="O78" s="1057"/>
      <c r="P78" s="2226">
        <f>SUM(P79:P79)</f>
        <v>384000</v>
      </c>
      <c r="Q78" s="2416"/>
      <c r="R78" s="1020"/>
      <c r="S78" s="1020"/>
      <c r="T78" s="1042">
        <f>SUM(T79:T80)</f>
        <v>342000</v>
      </c>
      <c r="U78" s="756">
        <f t="shared" si="10"/>
        <v>-42000</v>
      </c>
      <c r="V78" s="761"/>
    </row>
    <row r="79" spans="2:22" x14ac:dyDescent="0.25">
      <c r="B79" s="2196"/>
      <c r="C79" s="1142"/>
      <c r="D79" s="1142"/>
      <c r="E79" s="2197"/>
      <c r="F79" s="1142"/>
      <c r="G79" s="1052"/>
      <c r="H79" s="1052"/>
      <c r="I79" s="1052"/>
      <c r="J79" s="1052"/>
      <c r="K79" s="1142"/>
      <c r="L79" s="2393" t="s">
        <v>775</v>
      </c>
      <c r="M79" s="1044">
        <v>6</v>
      </c>
      <c r="N79" s="2394" t="s">
        <v>199</v>
      </c>
      <c r="O79" s="2395">
        <v>64000</v>
      </c>
      <c r="P79" s="2395">
        <f>O79*M79</f>
        <v>384000</v>
      </c>
      <c r="Q79" s="2260">
        <v>3</v>
      </c>
      <c r="R79" s="1045" t="s">
        <v>199</v>
      </c>
      <c r="S79" s="1046">
        <v>64000</v>
      </c>
      <c r="T79" s="1046">
        <f>S79*Q79</f>
        <v>192000</v>
      </c>
      <c r="U79" s="756">
        <f t="shared" si="10"/>
        <v>-192000</v>
      </c>
      <c r="V79" s="761"/>
    </row>
    <row r="80" spans="2:22" x14ac:dyDescent="0.25">
      <c r="B80" s="2196"/>
      <c r="C80" s="1142"/>
      <c r="D80" s="1142"/>
      <c r="E80" s="2197"/>
      <c r="F80" s="1142"/>
      <c r="G80" s="1052"/>
      <c r="H80" s="1052"/>
      <c r="I80" s="1052"/>
      <c r="J80" s="1052"/>
      <c r="K80" s="1142"/>
      <c r="L80" s="2393" t="s">
        <v>1241</v>
      </c>
      <c r="M80" s="1044"/>
      <c r="N80" s="2394"/>
      <c r="O80" s="2395"/>
      <c r="P80" s="2395"/>
      <c r="Q80" s="2260">
        <v>3</v>
      </c>
      <c r="R80" s="1045" t="s">
        <v>199</v>
      </c>
      <c r="S80" s="1046">
        <v>50000</v>
      </c>
      <c r="T80" s="1046">
        <f>S80*Q80</f>
        <v>150000</v>
      </c>
      <c r="U80" s="756">
        <f t="shared" ref="U80:U83" si="11">SUM(T80)-P80</f>
        <v>150000</v>
      </c>
      <c r="V80" s="761"/>
    </row>
    <row r="81" spans="2:22" x14ac:dyDescent="0.25">
      <c r="B81" s="1845">
        <v>1</v>
      </c>
      <c r="C81" s="1848" t="s">
        <v>239</v>
      </c>
      <c r="D81" s="1848" t="s">
        <v>84</v>
      </c>
      <c r="E81" s="2358">
        <v>18</v>
      </c>
      <c r="F81" s="2358" t="s">
        <v>84</v>
      </c>
      <c r="G81" s="1846">
        <v>5</v>
      </c>
      <c r="H81" s="1846">
        <v>2</v>
      </c>
      <c r="I81" s="1846">
        <v>2</v>
      </c>
      <c r="J81" s="1848" t="s">
        <v>86</v>
      </c>
      <c r="K81" s="1848" t="s">
        <v>87</v>
      </c>
      <c r="L81" s="2396" t="s">
        <v>65</v>
      </c>
      <c r="M81" s="1029"/>
      <c r="N81" s="1836"/>
      <c r="O81" s="1836"/>
      <c r="P81" s="1837">
        <f>SUM(P82:P82)</f>
        <v>1750000</v>
      </c>
      <c r="Q81" s="2258"/>
      <c r="R81" s="881"/>
      <c r="S81" s="881"/>
      <c r="T81" s="1013">
        <f>SUM(T82:T84)</f>
        <v>700000</v>
      </c>
      <c r="U81" s="756">
        <f t="shared" si="11"/>
        <v>-1050000</v>
      </c>
      <c r="V81" s="761"/>
    </row>
    <row r="82" spans="2:22" x14ac:dyDescent="0.25">
      <c r="B82" s="1845"/>
      <c r="C82" s="1848"/>
      <c r="D82" s="1848"/>
      <c r="E82" s="2358"/>
      <c r="F82" s="1848"/>
      <c r="G82" s="1846"/>
      <c r="H82" s="1846"/>
      <c r="I82" s="1846"/>
      <c r="J82" s="1846"/>
      <c r="K82" s="1848"/>
      <c r="L82" s="2397" t="s">
        <v>1235</v>
      </c>
      <c r="M82" s="1044">
        <v>5000</v>
      </c>
      <c r="N82" s="2361" t="s">
        <v>58</v>
      </c>
      <c r="O82" s="2398">
        <v>350</v>
      </c>
      <c r="P82" s="2398">
        <f>O82*M82</f>
        <v>1750000</v>
      </c>
      <c r="Q82" s="2260">
        <v>1000</v>
      </c>
      <c r="R82" s="1010" t="s">
        <v>58</v>
      </c>
      <c r="S82" s="1047">
        <v>350</v>
      </c>
      <c r="T82" s="1047">
        <f>S82*Q82</f>
        <v>350000</v>
      </c>
      <c r="U82" s="756">
        <f t="shared" si="11"/>
        <v>-1400000</v>
      </c>
      <c r="V82" s="761"/>
    </row>
    <row r="83" spans="2:22" x14ac:dyDescent="0.25">
      <c r="B83" s="1845"/>
      <c r="C83" s="1846"/>
      <c r="D83" s="1846"/>
      <c r="E83" s="1846"/>
      <c r="F83" s="1846"/>
      <c r="G83" s="1846"/>
      <c r="H83" s="1846"/>
      <c r="I83" s="1847"/>
      <c r="J83" s="1847"/>
      <c r="K83" s="1848"/>
      <c r="L83" s="2397" t="s">
        <v>1242</v>
      </c>
      <c r="M83" s="2400"/>
      <c r="N83" s="856"/>
      <c r="O83" s="857"/>
      <c r="P83" s="2423"/>
      <c r="Q83" s="2260">
        <v>1000</v>
      </c>
      <c r="R83" s="1010" t="s">
        <v>58</v>
      </c>
      <c r="S83" s="1047">
        <v>350</v>
      </c>
      <c r="T83" s="1047">
        <f>S83*Q83</f>
        <v>350000</v>
      </c>
      <c r="U83" s="756">
        <f t="shared" si="11"/>
        <v>350000</v>
      </c>
      <c r="V83" s="761"/>
    </row>
    <row r="84" spans="2:22" x14ac:dyDescent="0.25">
      <c r="B84" s="1845"/>
      <c r="C84" s="1846"/>
      <c r="D84" s="1846"/>
      <c r="E84" s="1846"/>
      <c r="F84" s="1846"/>
      <c r="G84" s="1846"/>
      <c r="H84" s="1846"/>
      <c r="I84" s="1847"/>
      <c r="J84" s="1847"/>
      <c r="K84" s="1848"/>
      <c r="L84" s="2399"/>
      <c r="M84" s="2400"/>
      <c r="N84" s="856"/>
      <c r="O84" s="857"/>
      <c r="P84" s="2423"/>
      <c r="Q84" s="2260"/>
      <c r="R84" s="1010"/>
      <c r="S84" s="1047"/>
      <c r="T84" s="1047"/>
      <c r="U84" s="756"/>
      <c r="V84" s="761"/>
    </row>
    <row r="85" spans="2:22" x14ac:dyDescent="0.25">
      <c r="B85" s="1845">
        <v>1</v>
      </c>
      <c r="C85" s="1848" t="s">
        <v>239</v>
      </c>
      <c r="D85" s="1848" t="s">
        <v>84</v>
      </c>
      <c r="E85" s="2358">
        <v>18</v>
      </c>
      <c r="F85" s="2358" t="s">
        <v>84</v>
      </c>
      <c r="G85" s="1846">
        <v>5</v>
      </c>
      <c r="H85" s="1846">
        <v>2</v>
      </c>
      <c r="I85" s="1846">
        <v>2</v>
      </c>
      <c r="J85" s="1848" t="s">
        <v>109</v>
      </c>
      <c r="K85" s="1846"/>
      <c r="L85" s="2375" t="s">
        <v>1243</v>
      </c>
      <c r="M85" s="2400"/>
      <c r="N85" s="856"/>
      <c r="O85" s="857"/>
      <c r="P85" s="2423"/>
      <c r="Q85" s="2260"/>
      <c r="R85" s="1010"/>
      <c r="S85" s="1047"/>
      <c r="T85" s="1038">
        <f>T86</f>
        <v>20000000</v>
      </c>
      <c r="U85" s="756">
        <f t="shared" ref="U85:U87" si="12">SUM(T85)-P85</f>
        <v>20000000</v>
      </c>
      <c r="V85" s="761"/>
    </row>
    <row r="86" spans="2:22" x14ac:dyDescent="0.25">
      <c r="B86" s="2196">
        <v>1</v>
      </c>
      <c r="C86" s="1142" t="s">
        <v>239</v>
      </c>
      <c r="D86" s="1142" t="s">
        <v>84</v>
      </c>
      <c r="E86" s="2197">
        <v>18</v>
      </c>
      <c r="F86" s="2197" t="s">
        <v>87</v>
      </c>
      <c r="G86" s="1052">
        <v>5</v>
      </c>
      <c r="H86" s="1052">
        <v>2</v>
      </c>
      <c r="I86" s="1052">
        <v>2</v>
      </c>
      <c r="J86" s="1142" t="s">
        <v>109</v>
      </c>
      <c r="K86" s="1142" t="s">
        <v>87</v>
      </c>
      <c r="L86" s="2392" t="s">
        <v>1243</v>
      </c>
      <c r="M86" s="2400"/>
      <c r="N86" s="856"/>
      <c r="O86" s="857"/>
      <c r="P86" s="2423"/>
      <c r="Q86" s="2417"/>
      <c r="R86" s="1023"/>
      <c r="S86" s="1049"/>
      <c r="T86" s="1049">
        <f>T87</f>
        <v>20000000</v>
      </c>
      <c r="U86" s="756">
        <f t="shared" si="12"/>
        <v>20000000</v>
      </c>
      <c r="V86" s="761"/>
    </row>
    <row r="87" spans="2:22" x14ac:dyDescent="0.25">
      <c r="B87" s="2196"/>
      <c r="C87" s="1142"/>
      <c r="D87" s="1142"/>
      <c r="E87" s="2197"/>
      <c r="F87" s="1142"/>
      <c r="G87" s="1052"/>
      <c r="H87" s="1052"/>
      <c r="I87" s="1052"/>
      <c r="J87" s="1052"/>
      <c r="K87" s="1142"/>
      <c r="L87" s="2393" t="s">
        <v>1244</v>
      </c>
      <c r="M87" s="2400"/>
      <c r="N87" s="856"/>
      <c r="O87" s="857"/>
      <c r="P87" s="2423"/>
      <c r="Q87" s="2417">
        <v>1</v>
      </c>
      <c r="R87" s="1023" t="s">
        <v>2</v>
      </c>
      <c r="S87" s="1049">
        <v>20000000</v>
      </c>
      <c r="T87" s="1049">
        <f>S87*Q87</f>
        <v>20000000</v>
      </c>
      <c r="U87" s="756">
        <f t="shared" si="12"/>
        <v>20000000</v>
      </c>
      <c r="V87" s="761"/>
    </row>
    <row r="88" spans="2:22" x14ac:dyDescent="0.25">
      <c r="B88" s="1845"/>
      <c r="C88" s="1846"/>
      <c r="D88" s="1846"/>
      <c r="E88" s="1846"/>
      <c r="F88" s="1846"/>
      <c r="G88" s="1846"/>
      <c r="H88" s="1846"/>
      <c r="I88" s="1847"/>
      <c r="J88" s="1847"/>
      <c r="K88" s="1848"/>
      <c r="L88" s="2399"/>
      <c r="M88" s="2400"/>
      <c r="N88" s="856"/>
      <c r="O88" s="857"/>
      <c r="P88" s="2423"/>
      <c r="Q88" s="2417"/>
      <c r="R88" s="1023"/>
      <c r="S88" s="1049"/>
      <c r="T88" s="1049"/>
      <c r="U88" s="756"/>
      <c r="V88" s="761"/>
    </row>
    <row r="89" spans="2:22" x14ac:dyDescent="0.25">
      <c r="B89" s="2196">
        <v>1</v>
      </c>
      <c r="C89" s="1848" t="s">
        <v>239</v>
      </c>
      <c r="D89" s="1142" t="s">
        <v>84</v>
      </c>
      <c r="E89" s="2197">
        <v>18</v>
      </c>
      <c r="F89" s="2197" t="s">
        <v>84</v>
      </c>
      <c r="G89" s="1052">
        <v>5</v>
      </c>
      <c r="H89" s="1052">
        <v>2</v>
      </c>
      <c r="I89" s="1052">
        <v>2</v>
      </c>
      <c r="J89" s="1142">
        <v>11</v>
      </c>
      <c r="K89" s="1052"/>
      <c r="L89" s="2401" t="s">
        <v>187</v>
      </c>
      <c r="M89" s="1043"/>
      <c r="N89" s="2229"/>
      <c r="O89" s="2229"/>
      <c r="P89" s="2267">
        <f>P90</f>
        <v>3195000</v>
      </c>
      <c r="Q89" s="1043"/>
      <c r="R89" s="2229"/>
      <c r="S89" s="2229"/>
      <c r="T89" s="2267">
        <f>T90</f>
        <v>1350000</v>
      </c>
      <c r="U89" s="756"/>
      <c r="V89" s="761"/>
    </row>
    <row r="90" spans="2:22" x14ac:dyDescent="0.25">
      <c r="B90" s="2196">
        <v>1</v>
      </c>
      <c r="C90" s="1848" t="s">
        <v>239</v>
      </c>
      <c r="D90" s="1142" t="s">
        <v>84</v>
      </c>
      <c r="E90" s="2197">
        <v>18</v>
      </c>
      <c r="F90" s="2197" t="s">
        <v>84</v>
      </c>
      <c r="G90" s="1052">
        <v>5</v>
      </c>
      <c r="H90" s="1052">
        <v>2</v>
      </c>
      <c r="I90" s="1052">
        <v>2</v>
      </c>
      <c r="J90" s="1142">
        <v>11</v>
      </c>
      <c r="K90" s="1142" t="s">
        <v>101</v>
      </c>
      <c r="L90" s="2402" t="s">
        <v>188</v>
      </c>
      <c r="M90" s="1043"/>
      <c r="N90" s="1057"/>
      <c r="O90" s="1057"/>
      <c r="P90" s="2226">
        <f>SUM(P91:P93)</f>
        <v>3195000</v>
      </c>
      <c r="Q90" s="1043"/>
      <c r="R90" s="1057"/>
      <c r="S90" s="1057"/>
      <c r="T90" s="2226">
        <f>SUM(T91:T93)</f>
        <v>1350000</v>
      </c>
      <c r="U90" s="756"/>
      <c r="V90" s="439"/>
    </row>
    <row r="91" spans="2:22" x14ac:dyDescent="0.25">
      <c r="B91" s="2196"/>
      <c r="C91" s="1142"/>
      <c r="D91" s="1142"/>
      <c r="E91" s="2197"/>
      <c r="F91" s="2197"/>
      <c r="G91" s="1052"/>
      <c r="H91" s="1052"/>
      <c r="I91" s="1052"/>
      <c r="J91" s="1142"/>
      <c r="K91" s="1142"/>
      <c r="L91" s="2403" t="s">
        <v>1236</v>
      </c>
      <c r="M91" s="855">
        <f>45+45+2+1+1+10+3</f>
        <v>107</v>
      </c>
      <c r="N91" s="856" t="s">
        <v>151</v>
      </c>
      <c r="O91" s="2231">
        <v>15000</v>
      </c>
      <c r="P91" s="857">
        <f>O91*M91</f>
        <v>1605000</v>
      </c>
      <c r="Q91" s="855">
        <v>60</v>
      </c>
      <c r="R91" s="856" t="s">
        <v>151</v>
      </c>
      <c r="S91" s="2231">
        <v>15000</v>
      </c>
      <c r="T91" s="857">
        <f>S91*Q91</f>
        <v>900000</v>
      </c>
      <c r="U91" s="756"/>
      <c r="V91" s="439"/>
    </row>
    <row r="92" spans="2:22" x14ac:dyDescent="0.25">
      <c r="B92" s="2196"/>
      <c r="C92" s="1142"/>
      <c r="D92" s="1142"/>
      <c r="E92" s="2197"/>
      <c r="F92" s="1142"/>
      <c r="G92" s="1052"/>
      <c r="H92" s="1052"/>
      <c r="I92" s="1052"/>
      <c r="J92" s="1052"/>
      <c r="K92" s="1142"/>
      <c r="L92" s="2403" t="s">
        <v>1237</v>
      </c>
      <c r="M92" s="855">
        <f>45+45+45+2+1+1+10+3</f>
        <v>152</v>
      </c>
      <c r="N92" s="856" t="s">
        <v>151</v>
      </c>
      <c r="O92" s="2231">
        <v>7500</v>
      </c>
      <c r="P92" s="857">
        <f>O92*M92</f>
        <v>1140000</v>
      </c>
      <c r="Q92" s="855">
        <v>60</v>
      </c>
      <c r="R92" s="856" t="s">
        <v>151</v>
      </c>
      <c r="S92" s="2231">
        <v>7500</v>
      </c>
      <c r="T92" s="857">
        <f>S92*Q92</f>
        <v>450000</v>
      </c>
      <c r="U92" s="756"/>
      <c r="V92" s="761"/>
    </row>
    <row r="93" spans="2:22" x14ac:dyDescent="0.25">
      <c r="B93" s="2196"/>
      <c r="C93" s="1142"/>
      <c r="D93" s="1142"/>
      <c r="E93" s="2197"/>
      <c r="F93" s="1142"/>
      <c r="G93" s="1052"/>
      <c r="H93" s="1052"/>
      <c r="I93" s="1052"/>
      <c r="J93" s="1052"/>
      <c r="K93" s="1142"/>
      <c r="L93" s="2404" t="s">
        <v>776</v>
      </c>
      <c r="M93" s="855">
        <f>45+7+8</f>
        <v>60</v>
      </c>
      <c r="N93" s="856" t="s">
        <v>151</v>
      </c>
      <c r="O93" s="2231">
        <v>7500</v>
      </c>
      <c r="P93" s="857">
        <f>O93*M93</f>
        <v>450000</v>
      </c>
      <c r="Q93" s="855"/>
      <c r="R93" s="856"/>
      <c r="S93" s="2231"/>
      <c r="T93" s="857">
        <f>S93*Q93</f>
        <v>0</v>
      </c>
      <c r="U93" s="756"/>
      <c r="V93" s="761"/>
    </row>
    <row r="94" spans="2:22" x14ac:dyDescent="0.25">
      <c r="B94" s="2196"/>
      <c r="C94" s="1142"/>
      <c r="D94" s="1142"/>
      <c r="E94" s="2197"/>
      <c r="F94" s="1142"/>
      <c r="G94" s="1052"/>
      <c r="H94" s="1052"/>
      <c r="I94" s="1052"/>
      <c r="J94" s="1052"/>
      <c r="K94" s="1142"/>
      <c r="L94" s="2405"/>
      <c r="M94" s="855"/>
      <c r="N94" s="856"/>
      <c r="O94" s="2231"/>
      <c r="P94" s="857"/>
      <c r="Q94" s="2260"/>
      <c r="R94" s="1010"/>
      <c r="S94" s="1047"/>
      <c r="T94" s="1047"/>
      <c r="U94" s="756"/>
      <c r="V94" s="439"/>
    </row>
    <row r="95" spans="2:22" ht="25" x14ac:dyDescent="0.25">
      <c r="B95" s="1014">
        <v>1</v>
      </c>
      <c r="C95" s="1004" t="s">
        <v>239</v>
      </c>
      <c r="D95" s="1015" t="s">
        <v>84</v>
      </c>
      <c r="E95" s="1016">
        <v>18</v>
      </c>
      <c r="F95" s="1016" t="s">
        <v>84</v>
      </c>
      <c r="G95" s="1017">
        <v>5</v>
      </c>
      <c r="H95" s="1017">
        <v>2</v>
      </c>
      <c r="I95" s="1017">
        <v>2</v>
      </c>
      <c r="J95" s="1015">
        <v>22</v>
      </c>
      <c r="K95" s="1017"/>
      <c r="L95" s="2401" t="s">
        <v>777</v>
      </c>
      <c r="M95" s="1043"/>
      <c r="N95" s="2229"/>
      <c r="O95" s="2229"/>
      <c r="P95" s="1065">
        <f>P96</f>
        <v>50000000</v>
      </c>
      <c r="Q95" s="1043"/>
      <c r="R95" s="2229"/>
      <c r="S95" s="2229"/>
      <c r="T95" s="1065">
        <f>T96</f>
        <v>30000000</v>
      </c>
      <c r="U95" s="756">
        <f t="shared" ref="U95:U100" si="13">SUM(T95)-P95</f>
        <v>-20000000</v>
      </c>
      <c r="V95" s="761"/>
    </row>
    <row r="96" spans="2:22" ht="25" x14ac:dyDescent="0.25">
      <c r="B96" s="1014">
        <v>1</v>
      </c>
      <c r="C96" s="1004" t="s">
        <v>239</v>
      </c>
      <c r="D96" s="1015" t="s">
        <v>84</v>
      </c>
      <c r="E96" s="1016">
        <v>18</v>
      </c>
      <c r="F96" s="1016" t="s">
        <v>84</v>
      </c>
      <c r="G96" s="1017">
        <v>5</v>
      </c>
      <c r="H96" s="1017">
        <v>2</v>
      </c>
      <c r="I96" s="1017">
        <v>2</v>
      </c>
      <c r="J96" s="1015">
        <v>22</v>
      </c>
      <c r="K96" s="1015" t="s">
        <v>84</v>
      </c>
      <c r="L96" s="2402" t="s">
        <v>777</v>
      </c>
      <c r="M96" s="1043"/>
      <c r="N96" s="1057"/>
      <c r="O96" s="1057"/>
      <c r="P96" s="1042">
        <f>SUM(P97)</f>
        <v>50000000</v>
      </c>
      <c r="Q96" s="1043"/>
      <c r="R96" s="1057"/>
      <c r="S96" s="1057"/>
      <c r="T96" s="1042">
        <f>SUM(T97)</f>
        <v>30000000</v>
      </c>
      <c r="U96" s="756">
        <f t="shared" si="13"/>
        <v>-20000000</v>
      </c>
      <c r="V96" s="1146"/>
    </row>
    <row r="97" spans="2:23" x14ac:dyDescent="0.25">
      <c r="B97" s="2196"/>
      <c r="C97" s="1142"/>
      <c r="D97" s="1142"/>
      <c r="E97" s="2197"/>
      <c r="F97" s="2197"/>
      <c r="G97" s="1052"/>
      <c r="H97" s="1052"/>
      <c r="I97" s="1052"/>
      <c r="J97" s="1142"/>
      <c r="K97" s="1142"/>
      <c r="L97" s="2403" t="s">
        <v>778</v>
      </c>
      <c r="M97" s="855">
        <v>1</v>
      </c>
      <c r="N97" s="856" t="s">
        <v>419</v>
      </c>
      <c r="O97" s="2231">
        <v>50000000</v>
      </c>
      <c r="P97" s="857">
        <f>O97*M97</f>
        <v>50000000</v>
      </c>
      <c r="Q97" s="855">
        <v>1</v>
      </c>
      <c r="R97" s="856" t="s">
        <v>419</v>
      </c>
      <c r="S97" s="2231">
        <v>30000000</v>
      </c>
      <c r="T97" s="857">
        <f>S97*Q97</f>
        <v>30000000</v>
      </c>
      <c r="U97" s="756">
        <f t="shared" si="13"/>
        <v>-20000000</v>
      </c>
      <c r="V97" s="761"/>
    </row>
    <row r="98" spans="2:23" x14ac:dyDescent="0.25">
      <c r="B98" s="2196"/>
      <c r="C98" s="1142"/>
      <c r="D98" s="1142"/>
      <c r="E98" s="2197"/>
      <c r="F98" s="1142"/>
      <c r="G98" s="1052"/>
      <c r="H98" s="1052"/>
      <c r="I98" s="1052"/>
      <c r="J98" s="1052"/>
      <c r="K98" s="1142"/>
      <c r="L98" s="2405"/>
      <c r="M98" s="855"/>
      <c r="N98" s="856"/>
      <c r="O98" s="2231"/>
      <c r="P98" s="857"/>
      <c r="Q98" s="1959"/>
      <c r="R98" s="890"/>
      <c r="S98" s="1049"/>
      <c r="T98" s="891"/>
      <c r="U98" s="756">
        <f t="shared" si="13"/>
        <v>0</v>
      </c>
      <c r="V98" s="761"/>
    </row>
    <row r="99" spans="2:23" ht="25" x14ac:dyDescent="0.25">
      <c r="B99" s="1014">
        <v>1</v>
      </c>
      <c r="C99" s="1004" t="s">
        <v>239</v>
      </c>
      <c r="D99" s="1015" t="s">
        <v>84</v>
      </c>
      <c r="E99" s="1016">
        <v>18</v>
      </c>
      <c r="F99" s="1016" t="s">
        <v>84</v>
      </c>
      <c r="G99" s="1017">
        <v>5</v>
      </c>
      <c r="H99" s="1017">
        <v>2</v>
      </c>
      <c r="I99" s="1017">
        <v>2</v>
      </c>
      <c r="J99" s="1015">
        <v>31</v>
      </c>
      <c r="K99" s="1017"/>
      <c r="L99" s="2401" t="s">
        <v>779</v>
      </c>
      <c r="M99" s="1043"/>
      <c r="N99" s="2229"/>
      <c r="O99" s="2229"/>
      <c r="P99" s="1065">
        <f>P100</f>
        <v>100000000</v>
      </c>
      <c r="Q99" s="1043"/>
      <c r="R99" s="2229"/>
      <c r="S99" s="2229"/>
      <c r="T99" s="1065">
        <f>T100</f>
        <v>295000000</v>
      </c>
      <c r="U99" s="756">
        <f t="shared" si="13"/>
        <v>195000000</v>
      </c>
      <c r="V99" s="761"/>
    </row>
    <row r="100" spans="2:23" ht="25" x14ac:dyDescent="0.25">
      <c r="B100" s="1014">
        <v>1</v>
      </c>
      <c r="C100" s="1004" t="s">
        <v>239</v>
      </c>
      <c r="D100" s="1015" t="s">
        <v>84</v>
      </c>
      <c r="E100" s="1016">
        <v>18</v>
      </c>
      <c r="F100" s="1016" t="s">
        <v>84</v>
      </c>
      <c r="G100" s="1017">
        <v>5</v>
      </c>
      <c r="H100" s="1017">
        <v>2</v>
      </c>
      <c r="I100" s="1017">
        <v>2</v>
      </c>
      <c r="J100" s="1015">
        <v>31</v>
      </c>
      <c r="K100" s="1015" t="s">
        <v>84</v>
      </c>
      <c r="L100" s="2402" t="s">
        <v>779</v>
      </c>
      <c r="M100" s="1043"/>
      <c r="N100" s="1057"/>
      <c r="O100" s="1057"/>
      <c r="P100" s="1042">
        <f>SUM(P101)</f>
        <v>100000000</v>
      </c>
      <c r="Q100" s="1043"/>
      <c r="R100" s="1057"/>
      <c r="S100" s="1057"/>
      <c r="T100" s="1042">
        <f>SUM(T101:T102)</f>
        <v>295000000</v>
      </c>
      <c r="U100" s="756">
        <f t="shared" si="13"/>
        <v>195000000</v>
      </c>
      <c r="V100" s="761"/>
    </row>
    <row r="101" spans="2:23" x14ac:dyDescent="0.25">
      <c r="B101" s="2196"/>
      <c r="C101" s="1142"/>
      <c r="D101" s="1142"/>
      <c r="E101" s="2197"/>
      <c r="F101" s="2197"/>
      <c r="G101" s="1052"/>
      <c r="H101" s="1052"/>
      <c r="I101" s="1052"/>
      <c r="J101" s="1142"/>
      <c r="K101" s="1142"/>
      <c r="L101" s="2403" t="s">
        <v>780</v>
      </c>
      <c r="M101" s="855">
        <v>1</v>
      </c>
      <c r="N101" s="856" t="s">
        <v>419</v>
      </c>
      <c r="O101" s="2231">
        <v>100000000</v>
      </c>
      <c r="P101" s="857">
        <f>O101*M101</f>
        <v>100000000</v>
      </c>
      <c r="Q101" s="855">
        <v>1</v>
      </c>
      <c r="R101" s="856" t="s">
        <v>419</v>
      </c>
      <c r="S101" s="2231">
        <v>100000000</v>
      </c>
      <c r="T101" s="857">
        <f>S101*Q101</f>
        <v>100000000</v>
      </c>
      <c r="U101" s="756">
        <f t="shared" ref="U101" si="14">SUM(T101)-P101</f>
        <v>0</v>
      </c>
      <c r="V101" s="761"/>
    </row>
    <row r="102" spans="2:23" ht="25" x14ac:dyDescent="0.25">
      <c r="B102" s="47"/>
      <c r="C102" s="6"/>
      <c r="D102" s="6"/>
      <c r="E102" s="2426"/>
      <c r="F102" s="2426"/>
      <c r="G102" s="116"/>
      <c r="H102" s="116"/>
      <c r="I102" s="646"/>
      <c r="J102" s="6"/>
      <c r="K102" s="6"/>
      <c r="L102" s="2404" t="s">
        <v>1245</v>
      </c>
      <c r="M102" s="1096"/>
      <c r="N102" s="1368"/>
      <c r="O102" s="2150"/>
      <c r="P102" s="2427"/>
      <c r="Q102" s="855">
        <v>1</v>
      </c>
      <c r="R102" s="890" t="s">
        <v>61</v>
      </c>
      <c r="S102" s="1049">
        <v>195000000</v>
      </c>
      <c r="T102" s="891">
        <f>S102*Q102</f>
        <v>195000000</v>
      </c>
      <c r="U102" s="756">
        <f t="shared" ref="U102" si="15">SUM(T102)-P102</f>
        <v>195000000</v>
      </c>
      <c r="V102" s="813"/>
    </row>
    <row r="103" spans="2:23" ht="13.5" customHeight="1" x14ac:dyDescent="0.25">
      <c r="B103" s="1147"/>
      <c r="C103" s="1148"/>
      <c r="D103" s="1148"/>
      <c r="E103" s="1148"/>
      <c r="F103" s="1148"/>
      <c r="G103" s="1148"/>
      <c r="H103" s="1080"/>
      <c r="I103" s="1149"/>
      <c r="J103" s="1150"/>
      <c r="K103" s="1151"/>
      <c r="L103" s="1152"/>
      <c r="M103" s="1153"/>
      <c r="N103" s="1078"/>
      <c r="O103" s="1154"/>
      <c r="P103" s="1155"/>
      <c r="Q103" s="1156"/>
      <c r="R103" s="1157"/>
      <c r="S103" s="1158"/>
      <c r="T103" s="1159"/>
      <c r="U103" s="756"/>
      <c r="V103" s="813"/>
    </row>
    <row r="104" spans="2:23" ht="14.5" thickBot="1" x14ac:dyDescent="0.3">
      <c r="B104" s="2730" t="s">
        <v>15</v>
      </c>
      <c r="C104" s="2731"/>
      <c r="D104" s="2731"/>
      <c r="E104" s="2731"/>
      <c r="F104" s="2731"/>
      <c r="G104" s="2731"/>
      <c r="H104" s="2731"/>
      <c r="I104" s="2731"/>
      <c r="J104" s="2731"/>
      <c r="K104" s="2731"/>
      <c r="L104" s="2731"/>
      <c r="M104" s="2731"/>
      <c r="N104" s="2731"/>
      <c r="O104" s="2731"/>
      <c r="P104" s="436">
        <f>P28</f>
        <v>660297000</v>
      </c>
      <c r="Q104" s="2915"/>
      <c r="R104" s="2916"/>
      <c r="S104" s="2917"/>
      <c r="T104" s="437">
        <f>T28</f>
        <v>805473500</v>
      </c>
      <c r="U104" s="935">
        <f>SUM(U28:U101)</f>
        <v>760748500</v>
      </c>
      <c r="V104" s="957">
        <f>U104/P104*100</f>
        <v>115.21307835716352</v>
      </c>
    </row>
    <row r="105" spans="2:23" ht="13" thickTop="1" x14ac:dyDescent="0.25">
      <c r="B105" s="2918"/>
      <c r="C105" s="2919"/>
      <c r="D105" s="2919"/>
      <c r="E105" s="2919"/>
      <c r="F105" s="2919"/>
      <c r="G105" s="2919"/>
      <c r="H105" s="2919"/>
      <c r="I105" s="2919"/>
      <c r="J105" s="2919"/>
      <c r="K105" s="2919"/>
      <c r="L105" s="2919"/>
      <c r="M105" s="2919"/>
      <c r="N105" s="2919"/>
      <c r="O105" s="2919"/>
      <c r="P105" s="2919"/>
      <c r="Q105" s="2919"/>
      <c r="R105" s="2919"/>
      <c r="S105" s="2919"/>
      <c r="T105" s="2919"/>
      <c r="U105" s="2919"/>
      <c r="V105" s="2920"/>
    </row>
    <row r="106" spans="2:23" ht="12.75" customHeight="1" x14ac:dyDescent="0.25">
      <c r="B106" s="466"/>
      <c r="C106" s="468"/>
      <c r="D106" s="468"/>
      <c r="E106" s="468"/>
      <c r="F106" s="468"/>
      <c r="G106" s="468"/>
      <c r="H106" s="468"/>
      <c r="I106" s="468"/>
      <c r="J106" s="468"/>
      <c r="K106" s="468"/>
      <c r="L106" s="396"/>
      <c r="M106" s="344"/>
      <c r="N106" s="344"/>
      <c r="O106" s="344"/>
      <c r="P106" s="344"/>
      <c r="Q106" s="468"/>
      <c r="R106" s="344"/>
      <c r="S106" s="2921" t="str">
        <f>'E-Gov Aplikasi'!S168:U168</f>
        <v>Banda Aceh,               2020</v>
      </c>
      <c r="T106" s="2921"/>
      <c r="U106" s="2921"/>
      <c r="V106" s="936"/>
      <c r="W106" s="100"/>
    </row>
    <row r="107" spans="2:23" x14ac:dyDescent="0.25">
      <c r="B107" s="466"/>
      <c r="C107" s="468"/>
      <c r="D107" s="468"/>
      <c r="E107" s="468"/>
      <c r="F107" s="468"/>
      <c r="G107" s="468"/>
      <c r="H107" s="468"/>
      <c r="I107" s="468"/>
      <c r="J107" s="468"/>
      <c r="K107" s="468"/>
      <c r="L107" s="371" t="str">
        <f>'E-Gov Aplikasi'!L169</f>
        <v>Mengesahkan,</v>
      </c>
      <c r="M107" s="344"/>
      <c r="N107" s="344"/>
      <c r="O107" s="344"/>
      <c r="P107" s="344"/>
      <c r="Q107" s="468"/>
      <c r="R107" s="344"/>
      <c r="S107" s="2524" t="str">
        <f>'E-Gov Aplikasi'!S169:U169</f>
        <v>Pengguna Anggaran</v>
      </c>
      <c r="T107" s="2524"/>
      <c r="U107" s="2524"/>
      <c r="V107" s="397"/>
      <c r="W107" s="22"/>
    </row>
    <row r="108" spans="2:23" ht="12.75" customHeight="1" x14ac:dyDescent="0.25">
      <c r="B108" s="466"/>
      <c r="C108" s="468"/>
      <c r="D108" s="468"/>
      <c r="E108" s="468"/>
      <c r="F108" s="468"/>
      <c r="G108" s="468"/>
      <c r="H108" s="468"/>
      <c r="I108" s="468"/>
      <c r="J108" s="468"/>
      <c r="K108" s="468"/>
      <c r="L108" s="371" t="str">
        <f>'E-Gov Aplikasi'!L170</f>
        <v>Pejabat Pengelola Keuangan Daerah</v>
      </c>
      <c r="M108" s="344"/>
      <c r="N108" s="344"/>
      <c r="O108" s="344"/>
      <c r="P108" s="344"/>
      <c r="Q108" s="468"/>
      <c r="R108" s="344"/>
      <c r="S108" s="2922" t="str">
        <f>'E-Gov Aplikasi'!S170:U170</f>
        <v xml:space="preserve"> Satuan Kerja Perangkat Daerah </v>
      </c>
      <c r="T108" s="2922"/>
      <c r="U108" s="2922"/>
      <c r="V108" s="397"/>
      <c r="W108" s="22"/>
    </row>
    <row r="109" spans="2:23" x14ac:dyDescent="0.25">
      <c r="B109" s="466"/>
      <c r="C109" s="468"/>
      <c r="D109" s="468"/>
      <c r="E109" s="468"/>
      <c r="F109" s="468"/>
      <c r="G109" s="468"/>
      <c r="H109" s="468"/>
      <c r="I109" s="468"/>
      <c r="J109" s="468"/>
      <c r="K109" s="468"/>
      <c r="L109" s="394"/>
      <c r="M109" s="344"/>
      <c r="N109" s="344"/>
      <c r="O109" s="344"/>
      <c r="P109" s="344"/>
      <c r="Q109" s="468"/>
      <c r="R109" s="344"/>
      <c r="S109" s="937"/>
      <c r="T109" s="938"/>
      <c r="U109" s="938"/>
      <c r="V109" s="939"/>
      <c r="W109" s="102"/>
    </row>
    <row r="110" spans="2:23" x14ac:dyDescent="0.25">
      <c r="B110" s="466"/>
      <c r="C110" s="468"/>
      <c r="D110" s="468"/>
      <c r="E110" s="468"/>
      <c r="F110" s="468"/>
      <c r="G110" s="468"/>
      <c r="H110" s="468"/>
      <c r="I110" s="468"/>
      <c r="J110" s="468"/>
      <c r="K110" s="468"/>
      <c r="L110" s="394"/>
      <c r="M110" s="344"/>
      <c r="N110" s="344"/>
      <c r="O110" s="344"/>
      <c r="P110" s="344"/>
      <c r="Q110" s="468"/>
      <c r="R110" s="344"/>
      <c r="S110" s="937"/>
      <c r="T110" s="937"/>
      <c r="U110" s="937"/>
      <c r="V110" s="940"/>
      <c r="W110" s="103"/>
    </row>
    <row r="111" spans="2:23" x14ac:dyDescent="0.25">
      <c r="B111" s="466"/>
      <c r="C111" s="468"/>
      <c r="D111" s="468"/>
      <c r="E111" s="468"/>
      <c r="F111" s="468"/>
      <c r="G111" s="468"/>
      <c r="H111" s="468"/>
      <c r="I111" s="468"/>
      <c r="J111" s="468"/>
      <c r="K111" s="468"/>
      <c r="L111" s="941"/>
      <c r="M111" s="344"/>
      <c r="N111" s="344"/>
      <c r="O111" s="344"/>
      <c r="P111" s="344"/>
      <c r="Q111" s="468"/>
      <c r="R111" s="344"/>
      <c r="S111" s="937"/>
      <c r="T111" s="938"/>
      <c r="U111" s="938"/>
      <c r="V111" s="939"/>
      <c r="W111" s="102"/>
    </row>
    <row r="112" spans="2:23" ht="14" x14ac:dyDescent="0.25">
      <c r="B112" s="466"/>
      <c r="C112" s="468"/>
      <c r="D112" s="468"/>
      <c r="E112" s="468"/>
      <c r="F112" s="468"/>
      <c r="G112" s="468"/>
      <c r="H112" s="468"/>
      <c r="I112" s="468"/>
      <c r="J112" s="468"/>
      <c r="K112" s="468"/>
      <c r="L112" s="942" t="str">
        <f>'E-Gov Aplikasi'!L174</f>
        <v>M. Iqbal Rokan, S.STP.</v>
      </c>
      <c r="M112" s="344"/>
      <c r="N112" s="344"/>
      <c r="O112" s="344"/>
      <c r="P112" s="344"/>
      <c r="Q112" s="468"/>
      <c r="R112" s="344"/>
      <c r="S112" s="2923" t="str">
        <f>'E-Gov Aplikasi'!S174:U174</f>
        <v>Bustami, SH</v>
      </c>
      <c r="T112" s="2923"/>
      <c r="U112" s="2923"/>
      <c r="V112" s="400"/>
      <c r="W112" s="104"/>
    </row>
    <row r="113" spans="2:23" x14ac:dyDescent="0.25">
      <c r="B113" s="466"/>
      <c r="C113" s="468"/>
      <c r="D113" s="468"/>
      <c r="E113" s="468"/>
      <c r="F113" s="468"/>
      <c r="G113" s="468"/>
      <c r="H113" s="468"/>
      <c r="I113" s="468"/>
      <c r="J113" s="468"/>
      <c r="K113" s="468"/>
      <c r="L113" s="371" t="str">
        <f>'E-Gov Aplikasi'!L175</f>
        <v>Nip. 19780505 199810 1 001</v>
      </c>
      <c r="M113" s="344"/>
      <c r="N113" s="344"/>
      <c r="O113" s="344"/>
      <c r="P113" s="344"/>
      <c r="Q113" s="468"/>
      <c r="R113" s="344"/>
      <c r="S113" s="2922" t="str">
        <f>'E-Gov Aplikasi'!S175:U175</f>
        <v>Pembina Utama Muda / Nip. 196308241987031004</v>
      </c>
      <c r="T113" s="2922"/>
      <c r="U113" s="2922"/>
      <c r="V113" s="397"/>
      <c r="W113" s="22"/>
    </row>
    <row r="114" spans="2:23" x14ac:dyDescent="0.25">
      <c r="B114" s="466"/>
      <c r="C114" s="468"/>
      <c r="D114" s="468"/>
      <c r="E114" s="468"/>
      <c r="F114" s="468"/>
      <c r="G114" s="468"/>
      <c r="H114" s="468"/>
      <c r="I114" s="468"/>
      <c r="J114" s="468"/>
      <c r="K114" s="468"/>
      <c r="L114" s="371"/>
      <c r="M114" s="344"/>
      <c r="N114" s="344"/>
      <c r="O114" s="344"/>
      <c r="P114" s="344"/>
      <c r="Q114" s="468"/>
      <c r="R114" s="344"/>
      <c r="S114" s="371"/>
      <c r="T114" s="371"/>
      <c r="U114" s="371"/>
      <c r="V114" s="943"/>
      <c r="W114" s="21"/>
    </row>
    <row r="115" spans="2:23" ht="14.25" customHeight="1" x14ac:dyDescent="0.25">
      <c r="B115" s="2705" t="s">
        <v>286</v>
      </c>
      <c r="C115" s="2706"/>
      <c r="D115" s="2706"/>
      <c r="E115" s="2706"/>
      <c r="F115" s="2706"/>
      <c r="G115" s="2706"/>
      <c r="H115" s="2706"/>
      <c r="I115" s="2706"/>
      <c r="J115" s="2706"/>
      <c r="K115" s="2706"/>
      <c r="L115" s="2706"/>
      <c r="M115" s="2707" t="s">
        <v>145</v>
      </c>
      <c r="N115" s="2708"/>
      <c r="O115" s="2708"/>
      <c r="P115" s="2708"/>
      <c r="Q115" s="2708"/>
      <c r="R115" s="2708"/>
      <c r="S115" s="2708"/>
      <c r="T115" s="2708"/>
      <c r="U115" s="2708"/>
      <c r="V115" s="2709"/>
    </row>
    <row r="116" spans="2:23" ht="14.25" customHeight="1" x14ac:dyDescent="0.25">
      <c r="B116" s="2893"/>
      <c r="C116" s="2894"/>
      <c r="D116" s="2894"/>
      <c r="E116" s="2894"/>
      <c r="F116" s="2894"/>
      <c r="G116" s="2894"/>
      <c r="H116" s="2894"/>
      <c r="I116" s="2894"/>
      <c r="J116" s="2894"/>
      <c r="K116" s="2894"/>
      <c r="L116" s="2895"/>
      <c r="M116" s="418" t="s">
        <v>142</v>
      </c>
      <c r="N116" s="2747"/>
      <c r="O116" s="2747"/>
      <c r="P116" s="2747"/>
      <c r="Q116" s="2746" t="s">
        <v>143</v>
      </c>
      <c r="R116" s="2746"/>
      <c r="S116" s="2746"/>
      <c r="T116" s="417" t="s">
        <v>144</v>
      </c>
      <c r="U116" s="2746" t="s">
        <v>146</v>
      </c>
      <c r="V116" s="2748"/>
    </row>
    <row r="117" spans="2:23" ht="14.25" customHeight="1" x14ac:dyDescent="0.25">
      <c r="B117" s="2907" t="s">
        <v>293</v>
      </c>
      <c r="C117" s="2908"/>
      <c r="D117" s="2908"/>
      <c r="E117" s="2908"/>
      <c r="F117" s="2908"/>
      <c r="G117" s="2908"/>
      <c r="H117" s="2908"/>
      <c r="I117" s="2908"/>
      <c r="J117" s="2908"/>
      <c r="K117" s="2908"/>
      <c r="L117" s="944">
        <v>0</v>
      </c>
      <c r="M117" s="945">
        <v>1</v>
      </c>
      <c r="N117" s="2896" t="str">
        <f>'E-Gov Aplikasi'!N179:P179</f>
        <v>Weri, SE. MA</v>
      </c>
      <c r="O117" s="2897"/>
      <c r="P117" s="2897"/>
      <c r="Q117" s="2898" t="str">
        <f>'E-Gov Aplikasi'!Q179:S179</f>
        <v>19640525 198903 1 026</v>
      </c>
      <c r="R117" s="2563"/>
      <c r="S117" s="2564"/>
      <c r="T117" s="946" t="s">
        <v>302</v>
      </c>
      <c r="U117" s="947" t="s">
        <v>287</v>
      </c>
      <c r="V117" s="451"/>
    </row>
    <row r="118" spans="2:23" ht="14" x14ac:dyDescent="0.25">
      <c r="B118" s="2907" t="s">
        <v>294</v>
      </c>
      <c r="C118" s="2908"/>
      <c r="D118" s="2908"/>
      <c r="E118" s="2908"/>
      <c r="F118" s="2908"/>
      <c r="G118" s="2908"/>
      <c r="H118" s="2908"/>
      <c r="I118" s="2908"/>
      <c r="J118" s="2908"/>
      <c r="K118" s="2908"/>
      <c r="L118" s="944">
        <v>0</v>
      </c>
      <c r="M118" s="945">
        <v>2</v>
      </c>
      <c r="N118" s="2909" t="str">
        <f>'E-Gov Aplikasi'!N180:P180</f>
        <v>Azmi, SH</v>
      </c>
      <c r="O118" s="2706"/>
      <c r="P118" s="2706"/>
      <c r="Q118" s="2898" t="str">
        <f>'E-Gov Aplikasi'!Q180:S180</f>
        <v>19680824 199903 1 004</v>
      </c>
      <c r="R118" s="2563"/>
      <c r="S118" s="2564"/>
      <c r="T118" s="946" t="s">
        <v>303</v>
      </c>
      <c r="U118" s="450"/>
      <c r="V118" s="948" t="s">
        <v>128</v>
      </c>
    </row>
    <row r="119" spans="2:23" ht="14" x14ac:dyDescent="0.25">
      <c r="B119" s="2907" t="s">
        <v>295</v>
      </c>
      <c r="C119" s="2908"/>
      <c r="D119" s="2908"/>
      <c r="E119" s="2908"/>
      <c r="F119" s="2908"/>
      <c r="G119" s="2908"/>
      <c r="H119" s="2908"/>
      <c r="I119" s="2908"/>
      <c r="J119" s="2908"/>
      <c r="K119" s="2908"/>
      <c r="L119" s="944">
        <v>0</v>
      </c>
      <c r="M119" s="1160">
        <v>3</v>
      </c>
      <c r="N119" s="2909" t="str">
        <f>'E-Gov Aplikasi'!N181:P181</f>
        <v>Muhammad Syaifuddin Ambia, ST, MT</v>
      </c>
      <c r="O119" s="2706"/>
      <c r="P119" s="2706"/>
      <c r="Q119" s="2898" t="str">
        <f>'E-Gov Aplikasi'!Q181:S181</f>
        <v>19741010 200604 1 003</v>
      </c>
      <c r="R119" s="2563"/>
      <c r="S119" s="2564"/>
      <c r="T119" s="946" t="s">
        <v>304</v>
      </c>
      <c r="U119" s="950" t="s">
        <v>292</v>
      </c>
      <c r="V119" s="451"/>
    </row>
    <row r="120" spans="2:23" ht="15" customHeight="1" x14ac:dyDescent="0.25">
      <c r="B120" s="2907" t="s">
        <v>296</v>
      </c>
      <c r="C120" s="2908"/>
      <c r="D120" s="2908"/>
      <c r="E120" s="2908"/>
      <c r="F120" s="2908"/>
      <c r="G120" s="2908"/>
      <c r="H120" s="2908"/>
      <c r="I120" s="2908"/>
      <c r="J120" s="2908"/>
      <c r="K120" s="2908"/>
      <c r="L120" s="944">
        <v>0</v>
      </c>
      <c r="M120" s="945">
        <v>4</v>
      </c>
      <c r="N120" s="2909" t="str">
        <f>'E-Gov Aplikasi'!N182:P182</f>
        <v>Basri, SE, M.Si</v>
      </c>
      <c r="O120" s="2706"/>
      <c r="P120" s="2706"/>
      <c r="Q120" s="2898" t="str">
        <f>'E-Gov Aplikasi'!Q182:S182</f>
        <v>19691213 199403 1 002</v>
      </c>
      <c r="R120" s="2563"/>
      <c r="S120" s="2564"/>
      <c r="T120" s="946" t="s">
        <v>305</v>
      </c>
      <c r="U120" s="450"/>
      <c r="V120" s="948" t="s">
        <v>288</v>
      </c>
    </row>
    <row r="121" spans="2:23" ht="14" x14ac:dyDescent="0.25">
      <c r="B121" s="2907" t="s">
        <v>297</v>
      </c>
      <c r="C121" s="2908"/>
      <c r="D121" s="2908"/>
      <c r="E121" s="2908"/>
      <c r="F121" s="2908"/>
      <c r="G121" s="2908"/>
      <c r="H121" s="2908"/>
      <c r="I121" s="2908"/>
      <c r="J121" s="2908"/>
      <c r="K121" s="2908"/>
      <c r="L121" s="951">
        <f>SUM(L117:L120)</f>
        <v>0</v>
      </c>
      <c r="M121" s="952">
        <v>5</v>
      </c>
      <c r="N121" s="2909" t="str">
        <f>'E-Gov Aplikasi'!N183:P183</f>
        <v>Dewi Shinta Reza, SE. Ak</v>
      </c>
      <c r="O121" s="2706"/>
      <c r="P121" s="2706"/>
      <c r="Q121" s="2898" t="str">
        <f>'E-Gov Aplikasi'!Q183:S183</f>
        <v>19750630 200212 2 003</v>
      </c>
      <c r="R121" s="2563"/>
      <c r="S121" s="2564"/>
      <c r="T121" s="946" t="s">
        <v>306</v>
      </c>
      <c r="U121" s="950" t="s">
        <v>289</v>
      </c>
      <c r="V121" s="451"/>
    </row>
    <row r="122" spans="2:23" ht="13.5" customHeight="1" x14ac:dyDescent="0.25">
      <c r="B122" s="2893"/>
      <c r="C122" s="2894"/>
      <c r="D122" s="2894"/>
      <c r="E122" s="2894"/>
      <c r="F122" s="2894"/>
      <c r="G122" s="2894"/>
      <c r="H122" s="2894"/>
      <c r="I122" s="2894"/>
      <c r="J122" s="2894"/>
      <c r="K122" s="2894"/>
      <c r="L122" s="2895"/>
      <c r="M122" s="952">
        <v>6</v>
      </c>
      <c r="N122" s="2896" t="str">
        <f>'E-Gov Aplikasi'!N184:P184</f>
        <v>Harisman, S.STP, M.Ec.Dev</v>
      </c>
      <c r="O122" s="2897"/>
      <c r="P122" s="2897"/>
      <c r="Q122" s="2898" t="str">
        <f>'E-Gov Aplikasi'!Q184:S184</f>
        <v>19830101 200112 1 003</v>
      </c>
      <c r="R122" s="2563"/>
      <c r="S122" s="2564"/>
      <c r="T122" s="946" t="s">
        <v>307</v>
      </c>
      <c r="U122" s="450"/>
      <c r="V122" s="948" t="s">
        <v>290</v>
      </c>
    </row>
    <row r="123" spans="2:23" ht="14.5" thickBot="1" x14ac:dyDescent="0.3">
      <c r="B123" s="2899"/>
      <c r="C123" s="2900"/>
      <c r="D123" s="2900"/>
      <c r="E123" s="2900"/>
      <c r="F123" s="2900"/>
      <c r="G123" s="2900"/>
      <c r="H123" s="2900"/>
      <c r="I123" s="2900"/>
      <c r="J123" s="2900"/>
      <c r="K123" s="2900"/>
      <c r="L123" s="2901"/>
      <c r="M123" s="953">
        <v>7</v>
      </c>
      <c r="N123" s="2902" t="str">
        <f>'E-Gov Aplikasi'!N185:P185</f>
        <v>Alriandi, S.STP, M.Si</v>
      </c>
      <c r="O123" s="2903"/>
      <c r="P123" s="2903"/>
      <c r="Q123" s="2904" t="str">
        <f>'E-Gov Aplikasi'!Q185:S185</f>
        <v>19830308 200112 1 001</v>
      </c>
      <c r="R123" s="2905"/>
      <c r="S123" s="2906"/>
      <c r="T123" s="954" t="s">
        <v>308</v>
      </c>
      <c r="U123" s="955" t="s">
        <v>291</v>
      </c>
      <c r="V123" s="956"/>
    </row>
    <row r="124" spans="2:23" ht="13" thickTop="1" x14ac:dyDescent="0.25">
      <c r="B124" s="342"/>
      <c r="C124" s="342"/>
      <c r="D124" s="342"/>
      <c r="E124" s="342"/>
      <c r="F124" s="342"/>
      <c r="G124" s="342"/>
      <c r="H124" s="342"/>
      <c r="I124" s="342"/>
      <c r="J124" s="342"/>
      <c r="K124" s="342"/>
      <c r="L124" s="342"/>
      <c r="M124" s="342"/>
      <c r="N124" s="342"/>
      <c r="O124" s="342"/>
      <c r="P124" s="342"/>
    </row>
    <row r="125" spans="2:23" x14ac:dyDescent="0.25">
      <c r="B125" s="342"/>
      <c r="C125" s="342"/>
      <c r="D125" s="342"/>
      <c r="E125" s="342"/>
      <c r="F125" s="342"/>
      <c r="G125" s="342"/>
      <c r="H125" s="342"/>
      <c r="I125" s="342"/>
      <c r="J125" s="342"/>
      <c r="K125" s="342"/>
      <c r="L125" s="342"/>
      <c r="M125" s="342"/>
      <c r="N125" s="342"/>
      <c r="O125" s="342"/>
      <c r="P125" s="342"/>
    </row>
    <row r="126" spans="2:23" x14ac:dyDescent="0.25">
      <c r="B126" s="342"/>
      <c r="C126" s="342"/>
      <c r="D126" s="342"/>
      <c r="E126" s="342"/>
      <c r="F126" s="342"/>
      <c r="G126" s="342"/>
      <c r="H126" s="342"/>
      <c r="I126" s="342"/>
      <c r="J126" s="342"/>
      <c r="K126" s="342"/>
      <c r="L126" s="342"/>
      <c r="M126" s="342"/>
      <c r="N126" s="342"/>
      <c r="O126" s="342"/>
      <c r="P126" s="342"/>
    </row>
    <row r="127" spans="2:23" x14ac:dyDescent="0.25">
      <c r="B127" s="342"/>
      <c r="C127" s="342"/>
      <c r="D127" s="342"/>
      <c r="E127" s="342"/>
      <c r="F127" s="342"/>
      <c r="G127" s="342"/>
      <c r="H127" s="342"/>
      <c r="I127" s="342"/>
      <c r="J127" s="342"/>
      <c r="K127" s="342"/>
      <c r="L127" s="342"/>
      <c r="M127" s="342"/>
      <c r="N127" s="342"/>
      <c r="O127" s="342"/>
      <c r="P127" s="342"/>
    </row>
    <row r="128" spans="2:23" x14ac:dyDescent="0.25">
      <c r="B128" s="342"/>
      <c r="C128" s="342"/>
      <c r="D128" s="342"/>
      <c r="E128" s="342"/>
      <c r="F128" s="342"/>
      <c r="G128" s="342"/>
      <c r="H128" s="342"/>
      <c r="I128" s="342"/>
      <c r="J128" s="342"/>
      <c r="K128" s="342"/>
      <c r="L128" s="342"/>
      <c r="M128" s="342"/>
      <c r="N128" s="342"/>
      <c r="O128" s="342"/>
      <c r="P128" s="342"/>
    </row>
    <row r="129" spans="2:16" x14ac:dyDescent="0.25">
      <c r="B129" s="342"/>
      <c r="C129" s="342"/>
      <c r="D129" s="342"/>
      <c r="E129" s="342"/>
      <c r="F129" s="342"/>
      <c r="G129" s="342"/>
      <c r="H129" s="342"/>
      <c r="I129" s="342"/>
      <c r="J129" s="342"/>
      <c r="K129" s="342"/>
      <c r="L129" s="342"/>
      <c r="M129" s="342"/>
      <c r="N129" s="342"/>
      <c r="O129" s="342"/>
      <c r="P129" s="342"/>
    </row>
    <row r="130" spans="2:16" x14ac:dyDescent="0.25">
      <c r="B130" s="342"/>
      <c r="C130" s="342"/>
      <c r="D130" s="342"/>
      <c r="E130" s="342"/>
      <c r="F130" s="342"/>
      <c r="G130" s="342"/>
      <c r="H130" s="342"/>
      <c r="I130" s="342"/>
      <c r="J130" s="342"/>
      <c r="K130" s="342"/>
      <c r="L130" s="342"/>
      <c r="M130" s="342"/>
      <c r="N130" s="342"/>
      <c r="O130" s="342"/>
      <c r="P130" s="342"/>
    </row>
    <row r="131" spans="2:16" x14ac:dyDescent="0.25">
      <c r="B131" s="342"/>
      <c r="C131" s="342"/>
      <c r="D131" s="342"/>
      <c r="E131" s="342"/>
      <c r="F131" s="342"/>
      <c r="G131" s="342"/>
      <c r="H131" s="342"/>
      <c r="I131" s="342"/>
      <c r="J131" s="342"/>
      <c r="K131" s="342"/>
      <c r="L131" s="342"/>
      <c r="M131" s="342"/>
      <c r="N131" s="342"/>
      <c r="O131" s="342"/>
      <c r="P131" s="342"/>
    </row>
    <row r="132" spans="2:16" x14ac:dyDescent="0.25">
      <c r="B132" s="342"/>
      <c r="C132" s="342"/>
      <c r="D132" s="342"/>
      <c r="E132" s="342"/>
      <c r="F132" s="342"/>
      <c r="G132" s="342"/>
      <c r="H132" s="342"/>
      <c r="I132" s="342"/>
      <c r="J132" s="342"/>
      <c r="K132" s="342"/>
      <c r="L132" s="342"/>
      <c r="M132" s="342"/>
      <c r="N132" s="342"/>
      <c r="O132" s="342"/>
      <c r="P132" s="342"/>
    </row>
    <row r="133" spans="2:16" x14ac:dyDescent="0.25">
      <c r="B133" s="342"/>
      <c r="C133" s="342"/>
      <c r="D133" s="342"/>
      <c r="E133" s="342"/>
      <c r="F133" s="342"/>
      <c r="G133" s="342"/>
      <c r="H133" s="342"/>
      <c r="I133" s="342"/>
      <c r="J133" s="342"/>
      <c r="K133" s="342"/>
      <c r="L133" s="342"/>
      <c r="M133" s="342"/>
      <c r="N133" s="342"/>
      <c r="O133" s="342"/>
      <c r="P133" s="342"/>
    </row>
    <row r="134" spans="2:16" x14ac:dyDescent="0.25">
      <c r="B134" s="342"/>
      <c r="C134" s="342"/>
      <c r="D134" s="342"/>
      <c r="E134" s="342"/>
      <c r="F134" s="342"/>
      <c r="G134" s="342"/>
      <c r="H134" s="342"/>
      <c r="I134" s="342"/>
      <c r="J134" s="342"/>
      <c r="K134" s="342"/>
      <c r="L134" s="342"/>
      <c r="M134" s="342"/>
      <c r="N134" s="342"/>
      <c r="O134" s="342"/>
      <c r="P134" s="342"/>
    </row>
    <row r="135" spans="2:16" x14ac:dyDescent="0.25">
      <c r="B135" s="342"/>
      <c r="C135" s="342"/>
      <c r="D135" s="342"/>
      <c r="E135" s="342"/>
      <c r="F135" s="342"/>
      <c r="G135" s="342"/>
      <c r="H135" s="342"/>
      <c r="I135" s="342"/>
      <c r="J135" s="342"/>
      <c r="K135" s="342"/>
      <c r="L135" s="342"/>
      <c r="M135" s="342"/>
      <c r="N135" s="342"/>
      <c r="O135" s="342"/>
      <c r="P135" s="342"/>
    </row>
    <row r="136" spans="2:16" x14ac:dyDescent="0.25">
      <c r="B136" s="342"/>
      <c r="C136" s="342"/>
      <c r="D136" s="342"/>
      <c r="E136" s="342"/>
      <c r="F136" s="342"/>
      <c r="G136" s="342"/>
      <c r="H136" s="342"/>
      <c r="I136" s="342"/>
      <c r="J136" s="342"/>
      <c r="K136" s="342"/>
      <c r="L136" s="342"/>
      <c r="M136" s="342"/>
      <c r="N136" s="342"/>
      <c r="O136" s="342"/>
      <c r="P136" s="342"/>
    </row>
    <row r="137" spans="2:16" x14ac:dyDescent="0.25">
      <c r="B137" s="342"/>
      <c r="C137" s="342"/>
      <c r="D137" s="342"/>
      <c r="E137" s="342"/>
      <c r="F137" s="342"/>
      <c r="G137" s="342"/>
      <c r="H137" s="342"/>
      <c r="I137" s="342"/>
      <c r="J137" s="342"/>
      <c r="K137" s="342"/>
      <c r="L137" s="342"/>
      <c r="M137" s="342"/>
      <c r="N137" s="342"/>
      <c r="O137" s="342"/>
      <c r="P137" s="342"/>
    </row>
    <row r="138" spans="2:16" x14ac:dyDescent="0.25">
      <c r="B138" s="342"/>
      <c r="C138" s="342"/>
      <c r="D138" s="342"/>
      <c r="E138" s="342"/>
      <c r="F138" s="342"/>
      <c r="G138" s="342"/>
      <c r="H138" s="342"/>
      <c r="I138" s="342"/>
      <c r="J138" s="342"/>
      <c r="K138" s="342"/>
      <c r="L138" s="342"/>
      <c r="M138" s="342"/>
      <c r="N138" s="342"/>
      <c r="O138" s="342"/>
      <c r="P138" s="342"/>
    </row>
    <row r="139" spans="2:16" x14ac:dyDescent="0.25">
      <c r="B139" s="342"/>
      <c r="C139" s="342"/>
      <c r="D139" s="342"/>
      <c r="E139" s="342"/>
      <c r="F139" s="342"/>
      <c r="G139" s="342"/>
      <c r="H139" s="342"/>
      <c r="I139" s="342"/>
      <c r="J139" s="342"/>
      <c r="K139" s="342"/>
      <c r="L139" s="342"/>
      <c r="M139" s="342"/>
      <c r="N139" s="342"/>
      <c r="O139" s="342"/>
      <c r="P139" s="342"/>
    </row>
    <row r="140" spans="2:16" x14ac:dyDescent="0.25">
      <c r="B140" s="342"/>
      <c r="C140" s="342"/>
      <c r="D140" s="342"/>
      <c r="E140" s="342"/>
      <c r="F140" s="342"/>
      <c r="G140" s="342"/>
      <c r="H140" s="342"/>
      <c r="I140" s="342"/>
      <c r="J140" s="342"/>
      <c r="K140" s="342"/>
      <c r="L140" s="342"/>
      <c r="M140" s="342"/>
      <c r="N140" s="342"/>
      <c r="O140" s="342"/>
      <c r="P140" s="342"/>
    </row>
  </sheetData>
  <mergeCells count="99">
    <mergeCell ref="J2:R2"/>
    <mergeCell ref="S2:T2"/>
    <mergeCell ref="U2:V2"/>
    <mergeCell ref="J3:R3"/>
    <mergeCell ref="S3:T3"/>
    <mergeCell ref="U3:V3"/>
    <mergeCell ref="B8:K8"/>
    <mergeCell ref="M8:V8"/>
    <mergeCell ref="B9:K9"/>
    <mergeCell ref="M9:V9"/>
    <mergeCell ref="B10:K10"/>
    <mergeCell ref="M10:V10"/>
    <mergeCell ref="B4:V4"/>
    <mergeCell ref="B5:V5"/>
    <mergeCell ref="B6:K6"/>
    <mergeCell ref="M6:V6"/>
    <mergeCell ref="B7:K7"/>
    <mergeCell ref="M7:V7"/>
    <mergeCell ref="B11:K11"/>
    <mergeCell ref="M11:V11"/>
    <mergeCell ref="B12:L12"/>
    <mergeCell ref="M12:V12"/>
    <mergeCell ref="B13:V13"/>
    <mergeCell ref="B14:K15"/>
    <mergeCell ref="L14:P14"/>
    <mergeCell ref="Q14:V14"/>
    <mergeCell ref="M15:P15"/>
    <mergeCell ref="Q15:S15"/>
    <mergeCell ref="T15:V15"/>
    <mergeCell ref="B18:K18"/>
    <mergeCell ref="M18:P18"/>
    <mergeCell ref="Q18:S18"/>
    <mergeCell ref="T18:V18"/>
    <mergeCell ref="B19:K19"/>
    <mergeCell ref="M19:P19"/>
    <mergeCell ref="Q19:S19"/>
    <mergeCell ref="T19:V19"/>
    <mergeCell ref="B16:K16"/>
    <mergeCell ref="M16:P16"/>
    <mergeCell ref="Q16:S16"/>
    <mergeCell ref="T16:V16"/>
    <mergeCell ref="B17:K17"/>
    <mergeCell ref="M17:P17"/>
    <mergeCell ref="Q17:S17"/>
    <mergeCell ref="T17:V17"/>
    <mergeCell ref="U22:V22"/>
    <mergeCell ref="M23:O23"/>
    <mergeCell ref="Q23:S23"/>
    <mergeCell ref="U23:U26"/>
    <mergeCell ref="V23:V26"/>
    <mergeCell ref="M24:M26"/>
    <mergeCell ref="N24:N26"/>
    <mergeCell ref="O24:O26"/>
    <mergeCell ref="Q24:Q26"/>
    <mergeCell ref="R24:R26"/>
    <mergeCell ref="S24:S26"/>
    <mergeCell ref="AQ1:AS1"/>
    <mergeCell ref="S108:U108"/>
    <mergeCell ref="S112:U112"/>
    <mergeCell ref="S113:U113"/>
    <mergeCell ref="B115:L115"/>
    <mergeCell ref="M115:V115"/>
    <mergeCell ref="B104:O104"/>
    <mergeCell ref="Q104:S104"/>
    <mergeCell ref="B105:V105"/>
    <mergeCell ref="B27:K27"/>
    <mergeCell ref="B20:V20"/>
    <mergeCell ref="B21:V21"/>
    <mergeCell ref="B22:K26"/>
    <mergeCell ref="L22:L26"/>
    <mergeCell ref="M22:P22"/>
    <mergeCell ref="Q22:T22"/>
    <mergeCell ref="U116:V116"/>
    <mergeCell ref="B117:K117"/>
    <mergeCell ref="N117:P117"/>
    <mergeCell ref="Q117:S117"/>
    <mergeCell ref="S106:U106"/>
    <mergeCell ref="B116:L116"/>
    <mergeCell ref="N116:P116"/>
    <mergeCell ref="Q116:S116"/>
    <mergeCell ref="S107:U107"/>
    <mergeCell ref="B118:K118"/>
    <mergeCell ref="N118:P118"/>
    <mergeCell ref="Q118:S118"/>
    <mergeCell ref="B119:K119"/>
    <mergeCell ref="N119:P119"/>
    <mergeCell ref="Q119:S119"/>
    <mergeCell ref="B122:L122"/>
    <mergeCell ref="N122:P122"/>
    <mergeCell ref="Q122:S122"/>
    <mergeCell ref="B123:L123"/>
    <mergeCell ref="N123:P123"/>
    <mergeCell ref="Q123:S123"/>
    <mergeCell ref="B120:K120"/>
    <mergeCell ref="N120:P120"/>
    <mergeCell ref="Q120:S120"/>
    <mergeCell ref="B121:K121"/>
    <mergeCell ref="N121:P121"/>
    <mergeCell ref="Q121:S121"/>
  </mergeCells>
  <pageMargins left="0.26186141699999999" right="1.0255000000000001" top="0.51180000000000003" bottom="0.47239999999999999" header="0.31496062992126" footer="0.31496062992126"/>
  <pageSetup paperSize="5" scale="55" orientation="landscape" horizontalDpi="4294967293" verticalDpi="300" r:id="rId1"/>
  <rowBreaks count="1" manualBreakCount="1">
    <brk id="63" min="1" max="21" man="1"/>
  </rowBreaks>
  <colBreaks count="1" manualBreakCount="1">
    <brk id="22" max="1048575" man="1"/>
  </col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129"/>
  <sheetViews>
    <sheetView view="pageBreakPreview" topLeftCell="A52" zoomScale="70" zoomScaleNormal="70" zoomScaleSheetLayoutView="100" workbookViewId="0">
      <selection activeCell="T78" sqref="T78"/>
    </sheetView>
  </sheetViews>
  <sheetFormatPr defaultColWidth="8.7265625" defaultRowHeight="12.5" x14ac:dyDescent="0.25"/>
  <cols>
    <col min="1" max="1" width="3.542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54296875" style="341" customWidth="1"/>
    <col min="17" max="17" width="9" style="341" customWidth="1"/>
    <col min="18" max="18" width="8" style="341" customWidth="1"/>
    <col min="19" max="19" width="15.1796875" style="341" customWidth="1"/>
    <col min="20" max="20" width="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965" t="s">
        <v>325</v>
      </c>
      <c r="T3" s="2966"/>
      <c r="U3" s="2653"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'PPID&amp;Propaganda'!B5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1601"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1602"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1603" t="s">
        <v>254</v>
      </c>
      <c r="M8" s="2948" t="s">
        <v>323</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256</v>
      </c>
      <c r="M9" s="2868" t="s">
        <v>326</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'PPID&amp;Propaganda'!M10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90</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845"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1599" t="s">
        <v>270</v>
      </c>
      <c r="M15" s="2945" t="s">
        <v>281</v>
      </c>
      <c r="N15" s="2943"/>
      <c r="O15" s="2943"/>
      <c r="P15" s="2946"/>
      <c r="Q15" s="2747" t="s">
        <v>270</v>
      </c>
      <c r="R15" s="2747"/>
      <c r="S15" s="2747"/>
      <c r="T15" s="2747" t="s">
        <v>281</v>
      </c>
      <c r="U15" s="2747"/>
      <c r="V15" s="2947"/>
      <c r="W15" s="520"/>
    </row>
    <row r="16" spans="2:24" ht="27" customHeight="1" x14ac:dyDescent="0.25">
      <c r="B16" s="2834" t="s">
        <v>14</v>
      </c>
      <c r="C16" s="2835"/>
      <c r="D16" s="2835"/>
      <c r="E16" s="2835"/>
      <c r="F16" s="2835"/>
      <c r="G16" s="2835"/>
      <c r="H16" s="2835"/>
      <c r="I16" s="2835"/>
      <c r="J16" s="2835"/>
      <c r="K16" s="2836"/>
      <c r="L16" s="977" t="s">
        <v>158</v>
      </c>
      <c r="M16" s="2507" t="s">
        <v>518</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36"/>
      <c r="L17" s="1108" t="s">
        <v>430</v>
      </c>
      <c r="M17" s="2933" t="str">
        <f>L17</f>
        <v>Jumlah Dana Yang Dibutuhkan</v>
      </c>
      <c r="N17" s="2933"/>
      <c r="O17" s="2933"/>
      <c r="P17" s="2933"/>
      <c r="Q17" s="2934">
        <f>P29</f>
        <v>111704220</v>
      </c>
      <c r="R17" s="2935"/>
      <c r="S17" s="2936"/>
      <c r="T17" s="2937">
        <f>T29</f>
        <v>302444220</v>
      </c>
      <c r="U17" s="2937"/>
      <c r="V17" s="2938"/>
    </row>
    <row r="18" spans="2:22" ht="25" x14ac:dyDescent="0.25">
      <c r="B18" s="2834" t="s">
        <v>136</v>
      </c>
      <c r="C18" s="2835"/>
      <c r="D18" s="2835"/>
      <c r="E18" s="2835"/>
      <c r="F18" s="2835"/>
      <c r="G18" s="2835"/>
      <c r="H18" s="2835"/>
      <c r="I18" s="2835"/>
      <c r="J18" s="2835"/>
      <c r="K18" s="2836"/>
      <c r="L18" s="977" t="s">
        <v>522</v>
      </c>
      <c r="M18" s="2875" t="s">
        <v>522</v>
      </c>
      <c r="N18" s="2875"/>
      <c r="O18" s="2875"/>
      <c r="P18" s="2875"/>
      <c r="Q18" s="2616" t="s">
        <v>523</v>
      </c>
      <c r="R18" s="2616"/>
      <c r="S18" s="2616"/>
      <c r="T18" s="2616" t="s">
        <v>523</v>
      </c>
      <c r="U18" s="2616"/>
      <c r="V18" s="2837"/>
    </row>
    <row r="19" spans="2:22" ht="14" x14ac:dyDescent="0.25">
      <c r="B19" s="2834" t="s">
        <v>137</v>
      </c>
      <c r="C19" s="2835"/>
      <c r="D19" s="2835"/>
      <c r="E19" s="2835"/>
      <c r="F19" s="2835"/>
      <c r="G19" s="2835"/>
      <c r="H19" s="2835"/>
      <c r="I19" s="2835"/>
      <c r="J19" s="2835"/>
      <c r="K19" s="2836"/>
      <c r="L19" s="977" t="s">
        <v>521</v>
      </c>
      <c r="M19" s="2875" t="s">
        <v>521</v>
      </c>
      <c r="N19" s="2875"/>
      <c r="O19" s="2875"/>
      <c r="P19" s="2875"/>
      <c r="Q19" s="2830">
        <v>0.65</v>
      </c>
      <c r="R19" s="2616"/>
      <c r="S19" s="2616"/>
      <c r="T19" s="2830">
        <v>0.65</v>
      </c>
      <c r="U19" s="2616"/>
      <c r="V19" s="2837"/>
    </row>
    <row r="20" spans="2:22" ht="14.25" customHeight="1" x14ac:dyDescent="0.25">
      <c r="B20" s="2931" t="s">
        <v>202</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1583"/>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584" t="s">
        <v>122</v>
      </c>
      <c r="Q24" s="2690" t="s">
        <v>127</v>
      </c>
      <c r="R24" s="2693" t="s">
        <v>8</v>
      </c>
      <c r="S24" s="2693"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584"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1582"/>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1604" t="s">
        <v>7</v>
      </c>
      <c r="Q27" s="984">
        <v>7</v>
      </c>
      <c r="R27" s="984">
        <v>8</v>
      </c>
      <c r="S27" s="985">
        <v>9</v>
      </c>
      <c r="T27" s="986" t="s">
        <v>275</v>
      </c>
      <c r="U27" s="1590" t="s">
        <v>274</v>
      </c>
      <c r="V27" s="1109">
        <v>12</v>
      </c>
    </row>
    <row r="28" spans="2:22" ht="21" customHeight="1" thickTop="1" x14ac:dyDescent="0.25">
      <c r="B28" s="486">
        <v>1</v>
      </c>
      <c r="C28" s="487" t="s">
        <v>239</v>
      </c>
      <c r="D28" s="487" t="s">
        <v>84</v>
      </c>
      <c r="E28" s="1674"/>
      <c r="F28" s="489"/>
      <c r="G28" s="473">
        <v>5</v>
      </c>
      <c r="H28" s="473">
        <v>2</v>
      </c>
      <c r="I28" s="489"/>
      <c r="J28" s="489"/>
      <c r="K28" s="489"/>
      <c r="L28" s="490" t="s">
        <v>54</v>
      </c>
      <c r="M28" s="2431"/>
      <c r="N28" s="491"/>
      <c r="O28" s="492"/>
      <c r="P28" s="547">
        <f>P29</f>
        <v>111704220</v>
      </c>
      <c r="Q28" s="2449"/>
      <c r="R28" s="873"/>
      <c r="S28" s="874"/>
      <c r="T28" s="875">
        <f>T29</f>
        <v>302444220</v>
      </c>
      <c r="U28" s="958">
        <f t="shared" ref="U28:U91" si="0">SUM(T28)-P28</f>
        <v>190740000</v>
      </c>
      <c r="V28" s="425"/>
    </row>
    <row r="29" spans="2:22" ht="24" customHeight="1" x14ac:dyDescent="0.25">
      <c r="B29" s="486">
        <v>1</v>
      </c>
      <c r="C29" s="487" t="s">
        <v>239</v>
      </c>
      <c r="D29" s="487" t="s">
        <v>84</v>
      </c>
      <c r="E29" s="1650">
        <v>18</v>
      </c>
      <c r="F29" s="487"/>
      <c r="G29" s="473"/>
      <c r="H29" s="473"/>
      <c r="I29" s="489"/>
      <c r="J29" s="489"/>
      <c r="K29" s="489"/>
      <c r="L29" s="2432" t="s">
        <v>468</v>
      </c>
      <c r="M29" s="495"/>
      <c r="N29" s="491"/>
      <c r="O29" s="492"/>
      <c r="P29" s="547">
        <f>P30</f>
        <v>111704220</v>
      </c>
      <c r="Q29" s="2450"/>
      <c r="R29" s="824"/>
      <c r="S29" s="825"/>
      <c r="T29" s="876">
        <f>T30</f>
        <v>302444220</v>
      </c>
      <c r="U29" s="812">
        <f t="shared" si="0"/>
        <v>190740000</v>
      </c>
      <c r="V29" s="761"/>
    </row>
    <row r="30" spans="2:22" ht="26.5" customHeight="1" x14ac:dyDescent="0.25">
      <c r="B30" s="654">
        <v>1</v>
      </c>
      <c r="C30" s="564" t="s">
        <v>239</v>
      </c>
      <c r="D30" s="564" t="s">
        <v>84</v>
      </c>
      <c r="E30" s="826">
        <v>18</v>
      </c>
      <c r="F30" s="826" t="s">
        <v>87</v>
      </c>
      <c r="G30" s="828"/>
      <c r="H30" s="828"/>
      <c r="I30" s="1050"/>
      <c r="J30" s="566"/>
      <c r="K30" s="564"/>
      <c r="L30" s="2433" t="s">
        <v>473</v>
      </c>
      <c r="M30" s="1051"/>
      <c r="N30" s="1680"/>
      <c r="O30" s="1680"/>
      <c r="P30" s="868">
        <f>P32+P53</f>
        <v>111704220</v>
      </c>
      <c r="Q30" s="2451"/>
      <c r="R30" s="1072"/>
      <c r="S30" s="1072"/>
      <c r="T30" s="876">
        <f>T32+T53+T78</f>
        <v>302444220</v>
      </c>
      <c r="U30" s="812">
        <f t="shared" si="0"/>
        <v>190740000</v>
      </c>
      <c r="V30" s="761"/>
    </row>
    <row r="31" spans="2:22" x14ac:dyDescent="0.25">
      <c r="B31" s="486"/>
      <c r="C31" s="487"/>
      <c r="D31" s="487"/>
      <c r="E31" s="2434"/>
      <c r="F31" s="2434"/>
      <c r="G31" s="2435"/>
      <c r="H31" s="2435"/>
      <c r="I31" s="2338"/>
      <c r="J31" s="489"/>
      <c r="K31" s="489"/>
      <c r="L31" s="1675"/>
      <c r="M31" s="1073"/>
      <c r="N31" s="500"/>
      <c r="O31" s="1683"/>
      <c r="P31" s="547"/>
      <c r="Q31" s="2452"/>
      <c r="R31" s="1119"/>
      <c r="S31" s="1120"/>
      <c r="T31" s="1307"/>
      <c r="U31" s="756"/>
      <c r="V31" s="761"/>
    </row>
    <row r="32" spans="2:22" x14ac:dyDescent="0.25">
      <c r="B32" s="486">
        <v>1</v>
      </c>
      <c r="C32" s="487" t="s">
        <v>239</v>
      </c>
      <c r="D32" s="487" t="s">
        <v>84</v>
      </c>
      <c r="E32" s="1650">
        <v>18</v>
      </c>
      <c r="F32" s="1650" t="s">
        <v>87</v>
      </c>
      <c r="G32" s="473">
        <v>5</v>
      </c>
      <c r="H32" s="473">
        <v>2</v>
      </c>
      <c r="I32" s="489">
        <v>1</v>
      </c>
      <c r="J32" s="2338"/>
      <c r="K32" s="2338"/>
      <c r="L32" s="1675" t="s">
        <v>39</v>
      </c>
      <c r="M32" s="1073"/>
      <c r="N32" s="499"/>
      <c r="O32" s="500"/>
      <c r="P32" s="547">
        <f>P33+P48</f>
        <v>2600000</v>
      </c>
      <c r="Q32" s="1018"/>
      <c r="R32" s="1121"/>
      <c r="S32" s="890"/>
      <c r="T32" s="1308">
        <f>T33</f>
        <v>45200000</v>
      </c>
      <c r="U32" s="756">
        <f t="shared" si="0"/>
        <v>42600000</v>
      </c>
      <c r="V32" s="761"/>
    </row>
    <row r="33" spans="2:22" x14ac:dyDescent="0.25">
      <c r="B33" s="1730">
        <v>1</v>
      </c>
      <c r="C33" s="1722" t="s">
        <v>239</v>
      </c>
      <c r="D33" s="1722" t="s">
        <v>84</v>
      </c>
      <c r="E33" s="1797">
        <v>18</v>
      </c>
      <c r="F33" s="1650" t="s">
        <v>87</v>
      </c>
      <c r="G33" s="1716">
        <v>5</v>
      </c>
      <c r="H33" s="1716">
        <v>2</v>
      </c>
      <c r="I33" s="1717">
        <v>1</v>
      </c>
      <c r="J33" s="1722" t="s">
        <v>84</v>
      </c>
      <c r="K33" s="1717"/>
      <c r="L33" s="1723" t="s">
        <v>96</v>
      </c>
      <c r="M33" s="602"/>
      <c r="N33" s="1724"/>
      <c r="O33" s="1725"/>
      <c r="P33" s="1858">
        <f>P34</f>
        <v>1800000</v>
      </c>
      <c r="Q33" s="1009"/>
      <c r="R33" s="1011"/>
      <c r="S33" s="1122"/>
      <c r="T33" s="1309">
        <f>T34+T37</f>
        <v>45200000</v>
      </c>
      <c r="U33" s="756">
        <f t="shared" si="0"/>
        <v>43400000</v>
      </c>
      <c r="V33" s="439">
        <f>U33/P33*100</f>
        <v>2411.1111111111109</v>
      </c>
    </row>
    <row r="34" spans="2:22" x14ac:dyDescent="0.25">
      <c r="B34" s="1730">
        <v>1</v>
      </c>
      <c r="C34" s="1722" t="s">
        <v>239</v>
      </c>
      <c r="D34" s="1722" t="s">
        <v>84</v>
      </c>
      <c r="E34" s="1797">
        <v>18</v>
      </c>
      <c r="F34" s="1650" t="s">
        <v>87</v>
      </c>
      <c r="G34" s="1716">
        <v>5</v>
      </c>
      <c r="H34" s="1716">
        <v>2</v>
      </c>
      <c r="I34" s="1717">
        <v>1</v>
      </c>
      <c r="J34" s="1722" t="s">
        <v>84</v>
      </c>
      <c r="K34" s="1722" t="s">
        <v>84</v>
      </c>
      <c r="L34" s="1893" t="s">
        <v>85</v>
      </c>
      <c r="M34" s="603"/>
      <c r="N34" s="1727"/>
      <c r="O34" s="1728"/>
      <c r="P34" s="1862">
        <f>SUM(P35:P35)</f>
        <v>1800000</v>
      </c>
      <c r="Q34" s="1012"/>
      <c r="R34" s="1053"/>
      <c r="S34" s="881"/>
      <c r="T34" s="1310">
        <f>SUM(T35:T35)</f>
        <v>1800000</v>
      </c>
      <c r="U34" s="756">
        <f t="shared" si="0"/>
        <v>0</v>
      </c>
      <c r="V34" s="761"/>
    </row>
    <row r="35" spans="2:22" ht="37.5" x14ac:dyDescent="0.25">
      <c r="B35" s="797"/>
      <c r="C35" s="1074"/>
      <c r="D35" s="1074"/>
      <c r="E35" s="1079"/>
      <c r="F35" s="1074"/>
      <c r="G35" s="1075"/>
      <c r="H35" s="1075"/>
      <c r="I35" s="1080"/>
      <c r="J35" s="1081"/>
      <c r="K35" s="1074"/>
      <c r="L35" s="962" t="s">
        <v>781</v>
      </c>
      <c r="M35" s="603">
        <v>6</v>
      </c>
      <c r="N35" s="1078" t="s">
        <v>52</v>
      </c>
      <c r="O35" s="606">
        <v>300000</v>
      </c>
      <c r="P35" s="1187">
        <f>O35*M35</f>
        <v>1800000</v>
      </c>
      <c r="Q35" s="1012">
        <v>6</v>
      </c>
      <c r="R35" s="1053" t="s">
        <v>52</v>
      </c>
      <c r="S35" s="1034">
        <v>300000</v>
      </c>
      <c r="T35" s="1310">
        <f>S35*Q35</f>
        <v>1800000</v>
      </c>
      <c r="U35" s="756">
        <f t="shared" si="0"/>
        <v>0</v>
      </c>
      <c r="V35" s="761"/>
    </row>
    <row r="36" spans="2:22" x14ac:dyDescent="0.25">
      <c r="B36" s="486"/>
      <c r="C36" s="487"/>
      <c r="D36" s="487"/>
      <c r="E36" s="1650"/>
      <c r="F36" s="1650"/>
      <c r="G36" s="473"/>
      <c r="H36" s="473"/>
      <c r="I36" s="489"/>
      <c r="J36" s="2338"/>
      <c r="K36" s="2338"/>
      <c r="L36" s="2346"/>
      <c r="M36" s="1073"/>
      <c r="N36" s="499"/>
      <c r="O36" s="500"/>
      <c r="P36" s="547"/>
      <c r="Q36" s="1018"/>
      <c r="R36" s="1121"/>
      <c r="S36" s="890"/>
      <c r="T36" s="1308"/>
      <c r="U36" s="675"/>
      <c r="V36" s="761"/>
    </row>
    <row r="37" spans="2:22" x14ac:dyDescent="0.25">
      <c r="B37" s="486">
        <v>1</v>
      </c>
      <c r="C37" s="487" t="s">
        <v>239</v>
      </c>
      <c r="D37" s="487" t="s">
        <v>84</v>
      </c>
      <c r="E37" s="1650">
        <v>18</v>
      </c>
      <c r="F37" s="1650" t="s">
        <v>87</v>
      </c>
      <c r="G37" s="473">
        <v>5</v>
      </c>
      <c r="H37" s="473">
        <v>2</v>
      </c>
      <c r="I37" s="489">
        <v>1</v>
      </c>
      <c r="J37" s="1722" t="s">
        <v>84</v>
      </c>
      <c r="K37" s="1722" t="s">
        <v>112</v>
      </c>
      <c r="L37" s="1999" t="s">
        <v>782</v>
      </c>
      <c r="M37" s="1073"/>
      <c r="N37" s="1326"/>
      <c r="O37" s="2237"/>
      <c r="P37" s="2166"/>
      <c r="Q37" s="1025"/>
      <c r="R37" s="1020"/>
      <c r="S37" s="1042"/>
      <c r="T37" s="1312">
        <f>T38</f>
        <v>43400000</v>
      </c>
      <c r="U37" s="756">
        <f t="shared" si="0"/>
        <v>43400000</v>
      </c>
      <c r="V37" s="439"/>
    </row>
    <row r="38" spans="2:22" ht="25" x14ac:dyDescent="0.25">
      <c r="B38" s="486"/>
      <c r="C38" s="487"/>
      <c r="D38" s="487"/>
      <c r="E38" s="1932"/>
      <c r="F38" s="1932"/>
      <c r="G38" s="489"/>
      <c r="H38" s="489"/>
      <c r="I38" s="116"/>
      <c r="J38" s="1736"/>
      <c r="K38" s="1722"/>
      <c r="L38" s="2000" t="s">
        <v>783</v>
      </c>
      <c r="M38" s="1073"/>
      <c r="N38" s="1326"/>
      <c r="O38" s="2237"/>
      <c r="P38" s="2166"/>
      <c r="Q38" s="1025"/>
      <c r="R38" s="1055"/>
      <c r="S38" s="1042"/>
      <c r="T38" s="1312">
        <f>SUM(T39:T46)</f>
        <v>43400000</v>
      </c>
      <c r="U38" s="756"/>
      <c r="V38" s="439"/>
    </row>
    <row r="39" spans="2:22" x14ac:dyDescent="0.25">
      <c r="B39" s="486"/>
      <c r="C39" s="487"/>
      <c r="D39" s="487"/>
      <c r="E39" s="1932"/>
      <c r="F39" s="487"/>
      <c r="G39" s="489"/>
      <c r="H39" s="489"/>
      <c r="I39" s="116"/>
      <c r="J39" s="6"/>
      <c r="K39" s="487"/>
      <c r="L39" s="2454" t="s">
        <v>952</v>
      </c>
      <c r="M39" s="2437"/>
      <c r="N39" s="1982"/>
      <c r="O39" s="1983"/>
      <c r="P39" s="1707"/>
      <c r="Q39" s="1025">
        <f>2*7</f>
        <v>14</v>
      </c>
      <c r="R39" s="1055" t="s">
        <v>82</v>
      </c>
      <c r="S39" s="2455">
        <v>600000</v>
      </c>
      <c r="T39" s="1313">
        <f>S39*Q39</f>
        <v>8400000</v>
      </c>
      <c r="U39" s="756">
        <f t="shared" si="0"/>
        <v>8400000</v>
      </c>
      <c r="V39" s="761"/>
    </row>
    <row r="40" spans="2:22" x14ac:dyDescent="0.25">
      <c r="B40" s="486"/>
      <c r="C40" s="487"/>
      <c r="D40" s="487"/>
      <c r="E40" s="1932"/>
      <c r="F40" s="487"/>
      <c r="G40" s="489"/>
      <c r="H40" s="489"/>
      <c r="I40" s="116"/>
      <c r="J40" s="6"/>
      <c r="K40" s="487"/>
      <c r="L40" s="2454" t="s">
        <v>953</v>
      </c>
      <c r="M40" s="2437"/>
      <c r="N40" s="1982"/>
      <c r="O40" s="1983"/>
      <c r="P40" s="1707"/>
      <c r="Q40" s="1025">
        <f t="shared" ref="Q40:Q45" si="1">1*7</f>
        <v>7</v>
      </c>
      <c r="R40" s="1055" t="s">
        <v>82</v>
      </c>
      <c r="S40" s="2455">
        <v>575000</v>
      </c>
      <c r="T40" s="1313">
        <f t="shared" ref="T40:T41" si="2">S40*Q40</f>
        <v>4025000</v>
      </c>
      <c r="U40" s="756">
        <f t="shared" si="0"/>
        <v>4025000</v>
      </c>
      <c r="V40" s="761"/>
    </row>
    <row r="41" spans="2:22" x14ac:dyDescent="0.25">
      <c r="B41" s="486"/>
      <c r="C41" s="487"/>
      <c r="D41" s="487"/>
      <c r="E41" s="1932"/>
      <c r="F41" s="487"/>
      <c r="G41" s="489"/>
      <c r="H41" s="489"/>
      <c r="I41" s="116"/>
      <c r="J41" s="6"/>
      <c r="K41" s="487"/>
      <c r="L41" s="2454" t="s">
        <v>954</v>
      </c>
      <c r="M41" s="847"/>
      <c r="N41" s="1326"/>
      <c r="O41" s="505"/>
      <c r="P41" s="551"/>
      <c r="Q41" s="1025">
        <f t="shared" si="1"/>
        <v>7</v>
      </c>
      <c r="R41" s="1055" t="s">
        <v>82</v>
      </c>
      <c r="S41" s="2455">
        <v>550000</v>
      </c>
      <c r="T41" s="1313">
        <f t="shared" si="2"/>
        <v>3850000</v>
      </c>
      <c r="U41" s="756">
        <f t="shared" si="0"/>
        <v>3850000</v>
      </c>
      <c r="V41" s="761"/>
    </row>
    <row r="42" spans="2:22" x14ac:dyDescent="0.25">
      <c r="B42" s="486"/>
      <c r="C42" s="487"/>
      <c r="D42" s="487"/>
      <c r="E42" s="1932"/>
      <c r="F42" s="487"/>
      <c r="G42" s="489"/>
      <c r="H42" s="489"/>
      <c r="I42" s="116"/>
      <c r="J42" s="6"/>
      <c r="K42" s="487"/>
      <c r="L42" s="2454" t="s">
        <v>955</v>
      </c>
      <c r="M42" s="847"/>
      <c r="N42" s="1326"/>
      <c r="O42" s="505"/>
      <c r="P42" s="551"/>
      <c r="Q42" s="1025">
        <f t="shared" si="1"/>
        <v>7</v>
      </c>
      <c r="R42" s="1055" t="s">
        <v>82</v>
      </c>
      <c r="S42" s="1300">
        <v>500000</v>
      </c>
      <c r="T42" s="1313">
        <f t="shared" ref="T42" si="3">S42*Q42</f>
        <v>3500000</v>
      </c>
      <c r="U42" s="756">
        <f t="shared" ref="U42" si="4">SUM(T42)-P42</f>
        <v>3500000</v>
      </c>
      <c r="V42" s="761"/>
    </row>
    <row r="43" spans="2:22" x14ac:dyDescent="0.25">
      <c r="B43" s="486"/>
      <c r="C43" s="487"/>
      <c r="D43" s="487"/>
      <c r="E43" s="1932"/>
      <c r="F43" s="487"/>
      <c r="G43" s="489"/>
      <c r="H43" s="489"/>
      <c r="I43" s="116"/>
      <c r="J43" s="6"/>
      <c r="K43" s="487"/>
      <c r="L43" s="2454" t="s">
        <v>956</v>
      </c>
      <c r="M43" s="847"/>
      <c r="N43" s="1326"/>
      <c r="O43" s="505"/>
      <c r="P43" s="551"/>
      <c r="Q43" s="1025">
        <f t="shared" si="1"/>
        <v>7</v>
      </c>
      <c r="R43" s="1055" t="s">
        <v>82</v>
      </c>
      <c r="S43" s="1300">
        <v>450000</v>
      </c>
      <c r="T43" s="1313">
        <f t="shared" ref="T43:T46" si="5">S43*Q43</f>
        <v>3150000</v>
      </c>
      <c r="U43" s="756">
        <f t="shared" ref="U43:U46" si="6">SUM(T43)-P43</f>
        <v>3150000</v>
      </c>
      <c r="V43" s="761"/>
    </row>
    <row r="44" spans="2:22" x14ac:dyDescent="0.25">
      <c r="B44" s="486"/>
      <c r="C44" s="487"/>
      <c r="D44" s="487"/>
      <c r="E44" s="1932"/>
      <c r="F44" s="487"/>
      <c r="G44" s="489"/>
      <c r="H44" s="489"/>
      <c r="I44" s="116"/>
      <c r="J44" s="6"/>
      <c r="K44" s="487"/>
      <c r="L44" s="2454" t="s">
        <v>957</v>
      </c>
      <c r="M44" s="847"/>
      <c r="N44" s="1326"/>
      <c r="O44" s="505"/>
      <c r="P44" s="551"/>
      <c r="Q44" s="1025">
        <f t="shared" si="1"/>
        <v>7</v>
      </c>
      <c r="R44" s="1055" t="s">
        <v>82</v>
      </c>
      <c r="S44" s="1300">
        <v>425000</v>
      </c>
      <c r="T44" s="1313">
        <f t="shared" si="5"/>
        <v>2975000</v>
      </c>
      <c r="U44" s="756">
        <f t="shared" si="6"/>
        <v>2975000</v>
      </c>
      <c r="V44" s="761"/>
    </row>
    <row r="45" spans="2:22" x14ac:dyDescent="0.25">
      <c r="B45" s="486"/>
      <c r="C45" s="487"/>
      <c r="D45" s="487"/>
      <c r="E45" s="1932"/>
      <c r="F45" s="487"/>
      <c r="G45" s="489"/>
      <c r="H45" s="489"/>
      <c r="I45" s="116"/>
      <c r="J45" s="6"/>
      <c r="K45" s="487"/>
      <c r="L45" s="2454" t="s">
        <v>958</v>
      </c>
      <c r="M45" s="847"/>
      <c r="N45" s="1326"/>
      <c r="O45" s="505"/>
      <c r="P45" s="551"/>
      <c r="Q45" s="1025">
        <f t="shared" si="1"/>
        <v>7</v>
      </c>
      <c r="R45" s="1055" t="s">
        <v>82</v>
      </c>
      <c r="S45" s="1300">
        <v>400000</v>
      </c>
      <c r="T45" s="1313">
        <f t="shared" si="5"/>
        <v>2800000</v>
      </c>
      <c r="U45" s="756">
        <f t="shared" si="6"/>
        <v>2800000</v>
      </c>
      <c r="V45" s="761"/>
    </row>
    <row r="46" spans="2:22" x14ac:dyDescent="0.25">
      <c r="B46" s="486"/>
      <c r="C46" s="487"/>
      <c r="D46" s="487"/>
      <c r="E46" s="1932"/>
      <c r="F46" s="487"/>
      <c r="G46" s="489"/>
      <c r="H46" s="489"/>
      <c r="I46" s="116"/>
      <c r="J46" s="6"/>
      <c r="K46" s="487"/>
      <c r="L46" s="2454" t="s">
        <v>959</v>
      </c>
      <c r="M46" s="847"/>
      <c r="N46" s="1326"/>
      <c r="O46" s="505"/>
      <c r="P46" s="551"/>
      <c r="Q46" s="1025">
        <f>6*7</f>
        <v>42</v>
      </c>
      <c r="R46" s="1055" t="s">
        <v>82</v>
      </c>
      <c r="S46" s="1300">
        <v>350000</v>
      </c>
      <c r="T46" s="1313">
        <f t="shared" si="5"/>
        <v>14700000</v>
      </c>
      <c r="U46" s="756">
        <f t="shared" si="6"/>
        <v>14700000</v>
      </c>
      <c r="V46" s="761"/>
    </row>
    <row r="47" spans="2:22" x14ac:dyDescent="0.25">
      <c r="B47" s="486"/>
      <c r="C47" s="487"/>
      <c r="D47" s="487"/>
      <c r="E47" s="1932"/>
      <c r="F47" s="487"/>
      <c r="G47" s="489"/>
      <c r="H47" s="489"/>
      <c r="I47" s="116"/>
      <c r="J47" s="6"/>
      <c r="K47" s="487"/>
      <c r="L47" s="2000"/>
      <c r="M47" s="847"/>
      <c r="N47" s="1326"/>
      <c r="O47" s="505"/>
      <c r="P47" s="551"/>
      <c r="Q47" s="1025"/>
      <c r="R47" s="1055"/>
      <c r="S47" s="1300"/>
      <c r="T47" s="1313"/>
      <c r="U47" s="756"/>
      <c r="V47" s="761"/>
    </row>
    <row r="48" spans="2:22" x14ac:dyDescent="0.25">
      <c r="B48" s="486">
        <v>1</v>
      </c>
      <c r="C48" s="487" t="s">
        <v>239</v>
      </c>
      <c r="D48" s="487" t="s">
        <v>84</v>
      </c>
      <c r="E48" s="1650">
        <v>18</v>
      </c>
      <c r="F48" s="1650" t="s">
        <v>87</v>
      </c>
      <c r="G48" s="473">
        <v>5</v>
      </c>
      <c r="H48" s="473">
        <v>2</v>
      </c>
      <c r="I48" s="489">
        <v>1</v>
      </c>
      <c r="J48" s="487" t="s">
        <v>87</v>
      </c>
      <c r="K48" s="489"/>
      <c r="L48" s="1758" t="s">
        <v>107</v>
      </c>
      <c r="M48" s="1073"/>
      <c r="N48" s="1684"/>
      <c r="O48" s="1685"/>
      <c r="P48" s="547">
        <f>P49</f>
        <v>800000</v>
      </c>
      <c r="Q48" s="1025"/>
      <c r="R48" s="1055"/>
      <c r="S48" s="1300"/>
      <c r="T48" s="1313"/>
      <c r="U48" s="756"/>
      <c r="V48" s="761"/>
    </row>
    <row r="49" spans="2:22" x14ac:dyDescent="0.25">
      <c r="B49" s="486">
        <v>1</v>
      </c>
      <c r="C49" s="487" t="s">
        <v>239</v>
      </c>
      <c r="D49" s="487" t="s">
        <v>84</v>
      </c>
      <c r="E49" s="1650">
        <v>18</v>
      </c>
      <c r="F49" s="1650" t="s">
        <v>87</v>
      </c>
      <c r="G49" s="473">
        <v>5</v>
      </c>
      <c r="H49" s="473">
        <v>2</v>
      </c>
      <c r="I49" s="489">
        <v>1</v>
      </c>
      <c r="J49" s="487" t="s">
        <v>87</v>
      </c>
      <c r="K49" s="487" t="s">
        <v>97</v>
      </c>
      <c r="L49" s="1999" t="s">
        <v>1246</v>
      </c>
      <c r="M49" s="1073"/>
      <c r="N49" s="1326"/>
      <c r="O49" s="2237"/>
      <c r="P49" s="2166">
        <f>SUM(P50:P51)</f>
        <v>800000</v>
      </c>
      <c r="Q49" s="1025"/>
      <c r="R49" s="1055"/>
      <c r="S49" s="1300"/>
      <c r="T49" s="1313"/>
      <c r="U49" s="756"/>
      <c r="V49" s="761"/>
    </row>
    <row r="50" spans="2:22" x14ac:dyDescent="0.25">
      <c r="B50" s="486"/>
      <c r="C50" s="487"/>
      <c r="D50" s="487"/>
      <c r="E50" s="1932"/>
      <c r="F50" s="487"/>
      <c r="G50" s="489"/>
      <c r="H50" s="489"/>
      <c r="I50" s="116"/>
      <c r="J50" s="6"/>
      <c r="K50" s="487"/>
      <c r="L50" s="2436" t="s">
        <v>1247</v>
      </c>
      <c r="M50" s="2437">
        <f>2*2</f>
        <v>4</v>
      </c>
      <c r="N50" s="1982" t="s">
        <v>189</v>
      </c>
      <c r="O50" s="1983">
        <v>100000</v>
      </c>
      <c r="P50" s="1707">
        <f t="shared" ref="P50:P51" si="7">O50*M50</f>
        <v>400000</v>
      </c>
      <c r="Q50" s="1025"/>
      <c r="R50" s="1055"/>
      <c r="S50" s="1300"/>
      <c r="T50" s="1313"/>
      <c r="U50" s="756"/>
      <c r="V50" s="761"/>
    </row>
    <row r="51" spans="2:22" x14ac:dyDescent="0.25">
      <c r="B51" s="486"/>
      <c r="C51" s="487"/>
      <c r="D51" s="487"/>
      <c r="E51" s="1932"/>
      <c r="F51" s="487"/>
      <c r="G51" s="489"/>
      <c r="H51" s="489"/>
      <c r="I51" s="116"/>
      <c r="J51" s="6"/>
      <c r="K51" s="487"/>
      <c r="L51" s="2234" t="s">
        <v>1248</v>
      </c>
      <c r="M51" s="2437">
        <f>2*2</f>
        <v>4</v>
      </c>
      <c r="N51" s="1982" t="s">
        <v>189</v>
      </c>
      <c r="O51" s="1983">
        <v>100000</v>
      </c>
      <c r="P51" s="1707">
        <f t="shared" si="7"/>
        <v>400000</v>
      </c>
      <c r="Q51" s="1025"/>
      <c r="R51" s="1055"/>
      <c r="S51" s="1300"/>
      <c r="T51" s="1313"/>
      <c r="U51" s="756"/>
      <c r="V51" s="761"/>
    </row>
    <row r="52" spans="2:22" x14ac:dyDescent="0.25">
      <c r="B52" s="486"/>
      <c r="C52" s="487"/>
      <c r="D52" s="487"/>
      <c r="E52" s="1932"/>
      <c r="F52" s="487"/>
      <c r="G52" s="489"/>
      <c r="H52" s="489"/>
      <c r="I52" s="116"/>
      <c r="J52" s="6"/>
      <c r="K52" s="487"/>
      <c r="L52" s="1999"/>
      <c r="M52" s="847"/>
      <c r="N52" s="1326"/>
      <c r="O52" s="505"/>
      <c r="P52" s="551"/>
      <c r="Q52" s="1025"/>
      <c r="R52" s="1055"/>
      <c r="S52" s="2455"/>
      <c r="T52" s="1313"/>
      <c r="U52" s="756"/>
      <c r="V52" s="761"/>
    </row>
    <row r="53" spans="2:22" x14ac:dyDescent="0.25">
      <c r="B53" s="486">
        <v>1</v>
      </c>
      <c r="C53" s="487" t="s">
        <v>239</v>
      </c>
      <c r="D53" s="487" t="s">
        <v>84</v>
      </c>
      <c r="E53" s="1650">
        <v>18</v>
      </c>
      <c r="F53" s="1650" t="s">
        <v>87</v>
      </c>
      <c r="G53" s="473">
        <v>5</v>
      </c>
      <c r="H53" s="473">
        <v>2</v>
      </c>
      <c r="I53" s="489">
        <v>2</v>
      </c>
      <c r="J53" s="489"/>
      <c r="K53" s="489"/>
      <c r="L53" s="2348" t="s">
        <v>64</v>
      </c>
      <c r="M53" s="850"/>
      <c r="N53" s="1326"/>
      <c r="O53" s="1917"/>
      <c r="P53" s="2031">
        <f>P54+P62+P69+P73</f>
        <v>109104220</v>
      </c>
      <c r="Q53" s="1043"/>
      <c r="R53" s="1055"/>
      <c r="S53" s="1020"/>
      <c r="T53" s="1311">
        <f>T54+T62+T69</f>
        <v>170794220</v>
      </c>
      <c r="U53" s="756">
        <f t="shared" ref="U53:U60" si="8">SUM(T53)-P53</f>
        <v>61690000</v>
      </c>
      <c r="V53" s="761"/>
    </row>
    <row r="54" spans="2:22" x14ac:dyDescent="0.25">
      <c r="B54" s="486">
        <v>1</v>
      </c>
      <c r="C54" s="487" t="s">
        <v>239</v>
      </c>
      <c r="D54" s="487" t="s">
        <v>84</v>
      </c>
      <c r="E54" s="1650">
        <v>18</v>
      </c>
      <c r="F54" s="1650" t="s">
        <v>87</v>
      </c>
      <c r="G54" s="473">
        <v>5</v>
      </c>
      <c r="H54" s="473">
        <v>2</v>
      </c>
      <c r="I54" s="473">
        <v>2</v>
      </c>
      <c r="J54" s="487" t="s">
        <v>84</v>
      </c>
      <c r="K54" s="489"/>
      <c r="L54" s="1913" t="s">
        <v>55</v>
      </c>
      <c r="M54" s="850"/>
      <c r="N54" s="2438"/>
      <c r="O54" s="1914"/>
      <c r="P54" s="2031">
        <f>P55</f>
        <v>644220</v>
      </c>
      <c r="Q54" s="1043"/>
      <c r="R54" s="1126"/>
      <c r="S54" s="1048"/>
      <c r="T54" s="1311">
        <f>T55</f>
        <v>654220</v>
      </c>
      <c r="U54" s="756">
        <f t="shared" si="8"/>
        <v>10000</v>
      </c>
      <c r="V54" s="761"/>
    </row>
    <row r="55" spans="2:22" x14ac:dyDescent="0.25">
      <c r="B55" s="486">
        <v>1</v>
      </c>
      <c r="C55" s="487" t="s">
        <v>239</v>
      </c>
      <c r="D55" s="487" t="s">
        <v>84</v>
      </c>
      <c r="E55" s="1650">
        <v>18</v>
      </c>
      <c r="F55" s="1650" t="s">
        <v>87</v>
      </c>
      <c r="G55" s="473">
        <v>5</v>
      </c>
      <c r="H55" s="473">
        <v>2</v>
      </c>
      <c r="I55" s="473">
        <v>2</v>
      </c>
      <c r="J55" s="487" t="s">
        <v>84</v>
      </c>
      <c r="K55" s="487" t="s">
        <v>84</v>
      </c>
      <c r="L55" s="2439" t="s">
        <v>784</v>
      </c>
      <c r="M55" s="850"/>
      <c r="N55" s="1326"/>
      <c r="O55" s="1917"/>
      <c r="P55" s="2166">
        <f>SUM(P56:P60)</f>
        <v>644220</v>
      </c>
      <c r="Q55" s="1043"/>
      <c r="R55" s="1055"/>
      <c r="S55" s="1020"/>
      <c r="T55" s="1312">
        <f>SUM(T56:T60)</f>
        <v>654220</v>
      </c>
      <c r="U55" s="756">
        <f t="shared" si="8"/>
        <v>10000</v>
      </c>
      <c r="V55" s="761"/>
    </row>
    <row r="56" spans="2:22" x14ac:dyDescent="0.25">
      <c r="B56" s="486"/>
      <c r="C56" s="487"/>
      <c r="D56" s="487"/>
      <c r="E56" s="1932"/>
      <c r="F56" s="1650"/>
      <c r="G56" s="489"/>
      <c r="H56" s="489"/>
      <c r="I56" s="489"/>
      <c r="J56" s="487"/>
      <c r="K56" s="487"/>
      <c r="L56" s="2012" t="s">
        <v>734</v>
      </c>
      <c r="M56" s="859">
        <v>5</v>
      </c>
      <c r="N56" s="499" t="s">
        <v>59</v>
      </c>
      <c r="O56" s="477">
        <v>47730</v>
      </c>
      <c r="P56" s="1705">
        <f t="shared" ref="P56:P60" si="9">O56*M56</f>
        <v>238650</v>
      </c>
      <c r="Q56" s="855">
        <v>5</v>
      </c>
      <c r="R56" s="1121" t="s">
        <v>59</v>
      </c>
      <c r="S56" s="891">
        <v>47730</v>
      </c>
      <c r="T56" s="1313">
        <f t="shared" ref="T56:T60" si="10">S56*Q56</f>
        <v>238650</v>
      </c>
      <c r="U56" s="756">
        <f t="shared" si="8"/>
        <v>0</v>
      </c>
      <c r="V56" s="761"/>
    </row>
    <row r="57" spans="2:22" x14ac:dyDescent="0.25">
      <c r="B57" s="486"/>
      <c r="C57" s="487"/>
      <c r="D57" s="487"/>
      <c r="E57" s="1932"/>
      <c r="F57" s="1650"/>
      <c r="G57" s="489"/>
      <c r="H57" s="489"/>
      <c r="I57" s="489"/>
      <c r="J57" s="487"/>
      <c r="K57" s="487"/>
      <c r="L57" s="2012" t="s">
        <v>785</v>
      </c>
      <c r="M57" s="859">
        <v>2</v>
      </c>
      <c r="N57" s="499" t="s">
        <v>0</v>
      </c>
      <c r="O57" s="477">
        <v>118750</v>
      </c>
      <c r="P57" s="1705">
        <f t="shared" si="9"/>
        <v>237500</v>
      </c>
      <c r="Q57" s="855">
        <v>2</v>
      </c>
      <c r="R57" s="1121" t="s">
        <v>0</v>
      </c>
      <c r="S57" s="891">
        <v>118750</v>
      </c>
      <c r="T57" s="1313">
        <f t="shared" si="10"/>
        <v>237500</v>
      </c>
      <c r="U57" s="756">
        <f t="shared" si="8"/>
        <v>0</v>
      </c>
      <c r="V57" s="761"/>
    </row>
    <row r="58" spans="2:22" x14ac:dyDescent="0.25">
      <c r="B58" s="486"/>
      <c r="C58" s="487"/>
      <c r="D58" s="487"/>
      <c r="E58" s="1932"/>
      <c r="F58" s="1650"/>
      <c r="G58" s="489"/>
      <c r="H58" s="489"/>
      <c r="I58" s="489"/>
      <c r="J58" s="487"/>
      <c r="K58" s="487"/>
      <c r="L58" s="2012" t="s">
        <v>786</v>
      </c>
      <c r="M58" s="859">
        <v>2</v>
      </c>
      <c r="N58" s="499" t="s">
        <v>787</v>
      </c>
      <c r="O58" s="477">
        <f>1250*12</f>
        <v>15000</v>
      </c>
      <c r="P58" s="1705">
        <f t="shared" si="9"/>
        <v>30000</v>
      </c>
      <c r="Q58" s="855">
        <v>2</v>
      </c>
      <c r="R58" s="1121" t="s">
        <v>787</v>
      </c>
      <c r="S58" s="891">
        <f>1250*12</f>
        <v>15000</v>
      </c>
      <c r="T58" s="1313">
        <f t="shared" si="10"/>
        <v>30000</v>
      </c>
      <c r="U58" s="756">
        <f t="shared" si="8"/>
        <v>0</v>
      </c>
      <c r="V58" s="761"/>
    </row>
    <row r="59" spans="2:22" x14ac:dyDescent="0.25">
      <c r="B59" s="486"/>
      <c r="C59" s="487"/>
      <c r="D59" s="487"/>
      <c r="E59" s="1932"/>
      <c r="F59" s="1650"/>
      <c r="G59" s="489"/>
      <c r="H59" s="489"/>
      <c r="I59" s="489"/>
      <c r="J59" s="487"/>
      <c r="K59" s="487"/>
      <c r="L59" s="2012" t="s">
        <v>788</v>
      </c>
      <c r="M59" s="859">
        <v>2</v>
      </c>
      <c r="N59" s="499" t="s">
        <v>445</v>
      </c>
      <c r="O59" s="477">
        <v>21880</v>
      </c>
      <c r="P59" s="1705">
        <f t="shared" si="9"/>
        <v>43760</v>
      </c>
      <c r="Q59" s="855">
        <v>2</v>
      </c>
      <c r="R59" s="1121" t="s">
        <v>445</v>
      </c>
      <c r="S59" s="891">
        <v>21880</v>
      </c>
      <c r="T59" s="1313">
        <f t="shared" si="10"/>
        <v>43760</v>
      </c>
      <c r="U59" s="756">
        <f t="shared" si="8"/>
        <v>0</v>
      </c>
      <c r="V59" s="761"/>
    </row>
    <row r="60" spans="2:22" x14ac:dyDescent="0.25">
      <c r="B60" s="486"/>
      <c r="C60" s="487"/>
      <c r="D60" s="487"/>
      <c r="E60" s="1932"/>
      <c r="F60" s="1650"/>
      <c r="G60" s="489"/>
      <c r="H60" s="489"/>
      <c r="I60" s="489"/>
      <c r="J60" s="487"/>
      <c r="K60" s="487"/>
      <c r="L60" s="2012" t="s">
        <v>789</v>
      </c>
      <c r="M60" s="859">
        <v>10</v>
      </c>
      <c r="N60" s="499" t="s">
        <v>445</v>
      </c>
      <c r="O60" s="477">
        <v>9431</v>
      </c>
      <c r="P60" s="1705">
        <f t="shared" si="9"/>
        <v>94310</v>
      </c>
      <c r="Q60" s="855">
        <v>10</v>
      </c>
      <c r="R60" s="1121" t="s">
        <v>445</v>
      </c>
      <c r="S60" s="891">
        <v>10431</v>
      </c>
      <c r="T60" s="1313">
        <f t="shared" si="10"/>
        <v>104310</v>
      </c>
      <c r="U60" s="756">
        <f t="shared" si="8"/>
        <v>10000</v>
      </c>
      <c r="V60" s="761"/>
    </row>
    <row r="61" spans="2:22" x14ac:dyDescent="0.25">
      <c r="B61" s="486"/>
      <c r="C61" s="487"/>
      <c r="D61" s="487"/>
      <c r="E61" s="1932"/>
      <c r="F61" s="487"/>
      <c r="G61" s="489"/>
      <c r="H61" s="489"/>
      <c r="I61" s="489"/>
      <c r="J61" s="489"/>
      <c r="K61" s="487"/>
      <c r="L61" s="2440"/>
      <c r="M61" s="859"/>
      <c r="N61" s="499"/>
      <c r="O61" s="477"/>
      <c r="P61" s="548"/>
      <c r="Q61" s="1043"/>
      <c r="R61" s="1055"/>
      <c r="S61" s="1020"/>
      <c r="T61" s="1312"/>
      <c r="U61" s="756"/>
      <c r="V61" s="761"/>
    </row>
    <row r="62" spans="2:22" ht="14.15" customHeight="1" x14ac:dyDescent="0.25">
      <c r="B62" s="486">
        <v>1</v>
      </c>
      <c r="C62" s="487" t="s">
        <v>239</v>
      </c>
      <c r="D62" s="487" t="s">
        <v>84</v>
      </c>
      <c r="E62" s="1650">
        <v>18</v>
      </c>
      <c r="F62" s="1650" t="s">
        <v>87</v>
      </c>
      <c r="G62" s="473">
        <v>5</v>
      </c>
      <c r="H62" s="473">
        <v>2</v>
      </c>
      <c r="I62" s="473">
        <v>2</v>
      </c>
      <c r="J62" s="487" t="s">
        <v>97</v>
      </c>
      <c r="K62" s="487"/>
      <c r="L62" s="1675" t="s">
        <v>57</v>
      </c>
      <c r="M62" s="859"/>
      <c r="N62" s="499"/>
      <c r="O62" s="477"/>
      <c r="P62" s="547">
        <f>SUM(P63+P66)</f>
        <v>104000000</v>
      </c>
      <c r="Q62" s="855"/>
      <c r="R62" s="1121"/>
      <c r="S62" s="891"/>
      <c r="T62" s="1308">
        <f>SUM(T63+T66)</f>
        <v>170000000</v>
      </c>
      <c r="U62" s="756">
        <f t="shared" ref="U62:U64" si="11">SUM(T62)-P62</f>
        <v>66000000</v>
      </c>
      <c r="V62" s="761"/>
    </row>
    <row r="63" spans="2:22" x14ac:dyDescent="0.25">
      <c r="B63" s="486">
        <v>1</v>
      </c>
      <c r="C63" s="487" t="s">
        <v>239</v>
      </c>
      <c r="D63" s="487" t="s">
        <v>84</v>
      </c>
      <c r="E63" s="1650">
        <v>18</v>
      </c>
      <c r="F63" s="1650" t="s">
        <v>87</v>
      </c>
      <c r="G63" s="473">
        <v>5</v>
      </c>
      <c r="H63" s="473">
        <v>2</v>
      </c>
      <c r="I63" s="489">
        <v>2</v>
      </c>
      <c r="J63" s="487" t="s">
        <v>97</v>
      </c>
      <c r="K63" s="487">
        <v>12</v>
      </c>
      <c r="L63" s="889" t="s">
        <v>141</v>
      </c>
      <c r="M63" s="847"/>
      <c r="N63" s="1326"/>
      <c r="O63" s="1917"/>
      <c r="P63" s="1317">
        <f>SUM(P64:P64)</f>
        <v>100000000</v>
      </c>
      <c r="Q63" s="2209"/>
      <c r="R63" s="1055"/>
      <c r="S63" s="1020"/>
      <c r="T63" s="1314">
        <f>SUM(T64:T64)</f>
        <v>100000000</v>
      </c>
      <c r="U63" s="756">
        <f t="shared" si="11"/>
        <v>0</v>
      </c>
      <c r="V63" s="761"/>
    </row>
    <row r="64" spans="2:22" x14ac:dyDescent="0.25">
      <c r="B64" s="486"/>
      <c r="C64" s="487"/>
      <c r="D64" s="487"/>
      <c r="E64" s="1932"/>
      <c r="F64" s="1932"/>
      <c r="G64" s="489"/>
      <c r="H64" s="489"/>
      <c r="I64" s="116"/>
      <c r="J64" s="6"/>
      <c r="K64" s="487"/>
      <c r="L64" s="2369" t="s">
        <v>790</v>
      </c>
      <c r="M64" s="1025">
        <v>1</v>
      </c>
      <c r="N64" s="1020" t="s">
        <v>419</v>
      </c>
      <c r="O64" s="1042">
        <v>100000000</v>
      </c>
      <c r="P64" s="1169">
        <f t="shared" ref="P64" si="12">O64*M64</f>
        <v>100000000</v>
      </c>
      <c r="Q64" s="1025">
        <v>1</v>
      </c>
      <c r="R64" s="1020" t="s">
        <v>419</v>
      </c>
      <c r="S64" s="1042">
        <v>100000000</v>
      </c>
      <c r="T64" s="1312">
        <f t="shared" ref="T64" si="13">S64*Q64</f>
        <v>100000000</v>
      </c>
      <c r="U64" s="756">
        <f t="shared" si="11"/>
        <v>0</v>
      </c>
      <c r="V64" s="761"/>
    </row>
    <row r="65" spans="2:22" x14ac:dyDescent="0.25">
      <c r="B65" s="486"/>
      <c r="C65" s="487"/>
      <c r="D65" s="487"/>
      <c r="E65" s="1932"/>
      <c r="F65" s="1932"/>
      <c r="G65" s="489"/>
      <c r="H65" s="489"/>
      <c r="I65" s="116"/>
      <c r="J65" s="6"/>
      <c r="K65" s="487"/>
      <c r="L65" s="2370"/>
      <c r="M65" s="2441"/>
      <c r="N65" s="1099"/>
      <c r="O65" s="1100"/>
      <c r="P65" s="2448"/>
      <c r="Q65" s="855"/>
      <c r="R65" s="1121"/>
      <c r="S65" s="891"/>
      <c r="T65" s="1313"/>
      <c r="U65" s="756"/>
      <c r="V65" s="761"/>
    </row>
    <row r="66" spans="2:22" x14ac:dyDescent="0.25">
      <c r="B66" s="486">
        <v>1</v>
      </c>
      <c r="C66" s="487" t="s">
        <v>239</v>
      </c>
      <c r="D66" s="487" t="s">
        <v>84</v>
      </c>
      <c r="E66" s="1650">
        <v>18</v>
      </c>
      <c r="F66" s="1650" t="s">
        <v>87</v>
      </c>
      <c r="G66" s="473">
        <v>5</v>
      </c>
      <c r="H66" s="473">
        <v>2</v>
      </c>
      <c r="I66" s="489">
        <v>2</v>
      </c>
      <c r="J66" s="487" t="s">
        <v>97</v>
      </c>
      <c r="K66" s="487">
        <v>27</v>
      </c>
      <c r="L66" s="889" t="s">
        <v>210</v>
      </c>
      <c r="M66" s="847"/>
      <c r="N66" s="1326"/>
      <c r="O66" s="1917"/>
      <c r="P66" s="1317">
        <f>SUM(P67:P67)</f>
        <v>4000000</v>
      </c>
      <c r="Q66" s="2209"/>
      <c r="R66" s="1055"/>
      <c r="S66" s="1020"/>
      <c r="T66" s="1314">
        <f>T67</f>
        <v>70000000</v>
      </c>
      <c r="U66" s="756">
        <f t="shared" ref="U66:U67" si="14">SUM(T66)-P66</f>
        <v>66000000</v>
      </c>
      <c r="V66" s="761"/>
    </row>
    <row r="67" spans="2:22" ht="25" x14ac:dyDescent="0.25">
      <c r="B67" s="486"/>
      <c r="C67" s="487"/>
      <c r="D67" s="487"/>
      <c r="E67" s="1932"/>
      <c r="F67" s="1932"/>
      <c r="G67" s="489"/>
      <c r="H67" s="489"/>
      <c r="I67" s="116"/>
      <c r="J67" s="6"/>
      <c r="K67" s="487"/>
      <c r="L67" s="2369" t="s">
        <v>1249</v>
      </c>
      <c r="M67" s="1025">
        <f>2*2*4</f>
        <v>16</v>
      </c>
      <c r="N67" s="1020" t="s">
        <v>454</v>
      </c>
      <c r="O67" s="1042">
        <v>250000</v>
      </c>
      <c r="P67" s="1169">
        <f t="shared" ref="P67" si="15">O67*M67</f>
        <v>4000000</v>
      </c>
      <c r="Q67" s="1054">
        <f>4*7</f>
        <v>28</v>
      </c>
      <c r="R67" s="1055" t="s">
        <v>52</v>
      </c>
      <c r="S67" s="1042">
        <v>2500000</v>
      </c>
      <c r="T67" s="1036">
        <f>S67*Q67</f>
        <v>70000000</v>
      </c>
      <c r="U67" s="756">
        <f t="shared" si="14"/>
        <v>66000000</v>
      </c>
      <c r="V67" s="439"/>
    </row>
    <row r="68" spans="2:22" x14ac:dyDescent="0.25">
      <c r="B68" s="486"/>
      <c r="C68" s="487"/>
      <c r="D68" s="487"/>
      <c r="E68" s="1932"/>
      <c r="F68" s="487"/>
      <c r="G68" s="489"/>
      <c r="H68" s="489"/>
      <c r="I68" s="489"/>
      <c r="J68" s="489"/>
      <c r="K68" s="487"/>
      <c r="L68" s="507"/>
      <c r="M68" s="859"/>
      <c r="N68" s="499"/>
      <c r="O68" s="477"/>
      <c r="P68" s="548"/>
      <c r="Q68" s="855"/>
      <c r="R68" s="1121"/>
      <c r="S68" s="891"/>
      <c r="T68" s="1308"/>
      <c r="U68" s="756"/>
      <c r="V68" s="439" t="e">
        <f>U68/P68*100</f>
        <v>#DIV/0!</v>
      </c>
    </row>
    <row r="69" spans="2:22" x14ac:dyDescent="0.25">
      <c r="B69" s="486">
        <v>1</v>
      </c>
      <c r="C69" s="487" t="s">
        <v>239</v>
      </c>
      <c r="D69" s="487" t="s">
        <v>84</v>
      </c>
      <c r="E69" s="1650">
        <v>18</v>
      </c>
      <c r="F69" s="1650" t="s">
        <v>87</v>
      </c>
      <c r="G69" s="473">
        <v>5</v>
      </c>
      <c r="H69" s="473">
        <v>2</v>
      </c>
      <c r="I69" s="473">
        <v>2</v>
      </c>
      <c r="J69" s="487" t="s">
        <v>86</v>
      </c>
      <c r="K69" s="489"/>
      <c r="L69" s="2009" t="s">
        <v>60</v>
      </c>
      <c r="M69" s="850"/>
      <c r="N69" s="2438"/>
      <c r="O69" s="1914"/>
      <c r="P69" s="2031">
        <f>P70</f>
        <v>1400000</v>
      </c>
      <c r="Q69" s="1056"/>
      <c r="R69" s="1126"/>
      <c r="S69" s="1048"/>
      <c r="T69" s="1311">
        <f>T70</f>
        <v>140000</v>
      </c>
      <c r="U69" s="756">
        <f t="shared" ref="U69:U71" si="16">SUM(T69)-P69</f>
        <v>-1260000</v>
      </c>
      <c r="V69" s="761"/>
    </row>
    <row r="70" spans="2:22" x14ac:dyDescent="0.25">
      <c r="B70" s="486">
        <v>1</v>
      </c>
      <c r="C70" s="487" t="s">
        <v>239</v>
      </c>
      <c r="D70" s="487" t="s">
        <v>84</v>
      </c>
      <c r="E70" s="1650">
        <v>18</v>
      </c>
      <c r="F70" s="1650" t="s">
        <v>87</v>
      </c>
      <c r="G70" s="473">
        <v>5</v>
      </c>
      <c r="H70" s="473">
        <v>2</v>
      </c>
      <c r="I70" s="473">
        <v>2</v>
      </c>
      <c r="J70" s="487" t="s">
        <v>86</v>
      </c>
      <c r="K70" s="487" t="s">
        <v>87</v>
      </c>
      <c r="L70" s="2442" t="s">
        <v>65</v>
      </c>
      <c r="M70" s="1094"/>
      <c r="N70" s="2125"/>
      <c r="O70" s="2443"/>
      <c r="P70" s="2166">
        <f>SUM(P71:P71)</f>
        <v>1400000</v>
      </c>
      <c r="Q70" s="1059"/>
      <c r="R70" s="1127"/>
      <c r="S70" s="1035"/>
      <c r="T70" s="1312">
        <f>SUM(T71:T71)</f>
        <v>140000</v>
      </c>
      <c r="U70" s="756">
        <f t="shared" si="16"/>
        <v>-1260000</v>
      </c>
      <c r="V70" s="761"/>
    </row>
    <row r="71" spans="2:22" x14ac:dyDescent="0.25">
      <c r="B71" s="510"/>
      <c r="C71" s="506"/>
      <c r="D71" s="506"/>
      <c r="E71" s="1911"/>
      <c r="F71" s="1911"/>
      <c r="G71" s="513"/>
      <c r="H71" s="513"/>
      <c r="I71" s="513"/>
      <c r="J71" s="506"/>
      <c r="K71" s="506"/>
      <c r="L71" s="2444" t="s">
        <v>791</v>
      </c>
      <c r="M71" s="861">
        <v>4000</v>
      </c>
      <c r="N71" s="508" t="s">
        <v>58</v>
      </c>
      <c r="O71" s="509">
        <v>350</v>
      </c>
      <c r="P71" s="1705">
        <f>O71*M71</f>
        <v>1400000</v>
      </c>
      <c r="Q71" s="1058">
        <v>400</v>
      </c>
      <c r="R71" s="1121" t="s">
        <v>58</v>
      </c>
      <c r="S71" s="891">
        <v>350</v>
      </c>
      <c r="T71" s="1313">
        <f>S71*Q71</f>
        <v>140000</v>
      </c>
      <c r="U71" s="756">
        <f t="shared" si="16"/>
        <v>-1260000</v>
      </c>
      <c r="V71" s="761"/>
    </row>
    <row r="72" spans="2:22" x14ac:dyDescent="0.25">
      <c r="B72" s="486"/>
      <c r="C72" s="487"/>
      <c r="D72" s="487"/>
      <c r="E72" s="1932"/>
      <c r="F72" s="487"/>
      <c r="G72" s="489"/>
      <c r="H72" s="489"/>
      <c r="I72" s="489"/>
      <c r="J72" s="489"/>
      <c r="K72" s="487"/>
      <c r="L72" s="2445"/>
      <c r="M72" s="859"/>
      <c r="N72" s="499"/>
      <c r="O72" s="477"/>
      <c r="P72" s="548"/>
      <c r="Q72" s="2209"/>
      <c r="R72" s="1055"/>
      <c r="S72" s="1020"/>
      <c r="T72" s="1314"/>
      <c r="U72" s="756"/>
      <c r="V72" s="761"/>
    </row>
    <row r="73" spans="2:22" x14ac:dyDescent="0.25">
      <c r="B73" s="486">
        <v>1</v>
      </c>
      <c r="C73" s="487" t="s">
        <v>239</v>
      </c>
      <c r="D73" s="487" t="s">
        <v>84</v>
      </c>
      <c r="E73" s="1650">
        <v>18</v>
      </c>
      <c r="F73" s="1650" t="s">
        <v>87</v>
      </c>
      <c r="G73" s="473">
        <v>5</v>
      </c>
      <c r="H73" s="473">
        <v>2</v>
      </c>
      <c r="I73" s="473">
        <v>2</v>
      </c>
      <c r="J73" s="487">
        <v>11</v>
      </c>
      <c r="K73" s="489"/>
      <c r="L73" s="2009" t="s">
        <v>187</v>
      </c>
      <c r="M73" s="850"/>
      <c r="N73" s="1914"/>
      <c r="O73" s="1915"/>
      <c r="P73" s="2031">
        <f>P74</f>
        <v>3060000</v>
      </c>
      <c r="Q73" s="1025"/>
      <c r="R73" s="1055"/>
      <c r="S73" s="1042"/>
      <c r="T73" s="1036"/>
      <c r="U73" s="756"/>
      <c r="V73" s="761"/>
    </row>
    <row r="74" spans="2:22" x14ac:dyDescent="0.25">
      <c r="B74" s="486">
        <v>1</v>
      </c>
      <c r="C74" s="487" t="s">
        <v>239</v>
      </c>
      <c r="D74" s="487" t="s">
        <v>84</v>
      </c>
      <c r="E74" s="1650">
        <v>18</v>
      </c>
      <c r="F74" s="1650" t="s">
        <v>87</v>
      </c>
      <c r="G74" s="473">
        <v>5</v>
      </c>
      <c r="H74" s="473">
        <v>2</v>
      </c>
      <c r="I74" s="473">
        <v>2</v>
      </c>
      <c r="J74" s="487">
        <v>11</v>
      </c>
      <c r="K74" s="487" t="s">
        <v>101</v>
      </c>
      <c r="L74" s="2446" t="s">
        <v>188</v>
      </c>
      <c r="M74" s="1094"/>
      <c r="N74" s="2443"/>
      <c r="O74" s="2447"/>
      <c r="P74" s="2166">
        <f>SUM(P75:P76)</f>
        <v>3060000</v>
      </c>
      <c r="Q74" s="1025"/>
      <c r="R74" s="1055"/>
      <c r="S74" s="1042"/>
      <c r="T74" s="1036"/>
      <c r="U74" s="756"/>
      <c r="V74" s="761"/>
    </row>
    <row r="75" spans="2:22" x14ac:dyDescent="0.25">
      <c r="B75" s="486"/>
      <c r="C75" s="487"/>
      <c r="D75" s="487"/>
      <c r="E75" s="1932"/>
      <c r="F75" s="1932"/>
      <c r="G75" s="489"/>
      <c r="H75" s="489"/>
      <c r="I75" s="489"/>
      <c r="J75" s="487"/>
      <c r="K75" s="487"/>
      <c r="L75" s="502" t="s">
        <v>1250</v>
      </c>
      <c r="M75" s="859">
        <f>68*2</f>
        <v>136</v>
      </c>
      <c r="N75" s="499" t="s">
        <v>151</v>
      </c>
      <c r="O75" s="2014">
        <v>15000</v>
      </c>
      <c r="P75" s="1705">
        <f>O75*M75</f>
        <v>2040000</v>
      </c>
      <c r="Q75" s="1025"/>
      <c r="R75" s="1055"/>
      <c r="S75" s="1042"/>
      <c r="T75" s="1036"/>
      <c r="U75" s="756"/>
      <c r="V75" s="761"/>
    </row>
    <row r="76" spans="2:22" x14ac:dyDescent="0.25">
      <c r="B76" s="486"/>
      <c r="C76" s="487"/>
      <c r="D76" s="487"/>
      <c r="E76" s="1932"/>
      <c r="F76" s="1932"/>
      <c r="G76" s="489"/>
      <c r="H76" s="489"/>
      <c r="I76" s="489"/>
      <c r="J76" s="487"/>
      <c r="K76" s="487"/>
      <c r="L76" s="502" t="s">
        <v>1251</v>
      </c>
      <c r="M76" s="859">
        <f>68*2</f>
        <v>136</v>
      </c>
      <c r="N76" s="499" t="s">
        <v>151</v>
      </c>
      <c r="O76" s="2014">
        <v>7500</v>
      </c>
      <c r="P76" s="1705">
        <f t="shared" ref="P76" si="17">O76*M76</f>
        <v>1020000</v>
      </c>
      <c r="Q76" s="1025"/>
      <c r="R76" s="1055"/>
      <c r="S76" s="1042"/>
      <c r="T76" s="1036"/>
      <c r="U76" s="756"/>
      <c r="V76" s="761"/>
    </row>
    <row r="77" spans="2:22" x14ac:dyDescent="0.25">
      <c r="B77" s="1014"/>
      <c r="C77" s="1060"/>
      <c r="D77" s="1060"/>
      <c r="E77" s="1125"/>
      <c r="F77" s="1125"/>
      <c r="G77" s="1061"/>
      <c r="H77" s="1061"/>
      <c r="I77" s="1061"/>
      <c r="J77" s="1060"/>
      <c r="K77" s="1060"/>
      <c r="L77" s="1128"/>
      <c r="M77" s="1058"/>
      <c r="N77" s="1121"/>
      <c r="O77" s="1049"/>
      <c r="P77" s="1304"/>
      <c r="Q77" s="1058"/>
      <c r="R77" s="1121"/>
      <c r="S77" s="1049"/>
      <c r="T77" s="1313"/>
      <c r="U77" s="756"/>
      <c r="V77" s="761"/>
    </row>
    <row r="78" spans="2:22" x14ac:dyDescent="0.25">
      <c r="B78" s="1014">
        <v>1</v>
      </c>
      <c r="C78" s="1060" t="s">
        <v>239</v>
      </c>
      <c r="D78" s="1060" t="s">
        <v>84</v>
      </c>
      <c r="E78" s="1016">
        <v>18</v>
      </c>
      <c r="F78" s="1016">
        <v>2</v>
      </c>
      <c r="G78" s="1017">
        <v>5</v>
      </c>
      <c r="H78" s="1017">
        <v>2</v>
      </c>
      <c r="I78" s="1061">
        <v>3</v>
      </c>
      <c r="J78" s="1060"/>
      <c r="K78" s="1061"/>
      <c r="L78" s="1129" t="s">
        <v>92</v>
      </c>
      <c r="M78" s="1130"/>
      <c r="N78" s="1055"/>
      <c r="O78" s="1042"/>
      <c r="P78" s="1302"/>
      <c r="Q78" s="1130"/>
      <c r="R78" s="1055"/>
      <c r="S78" s="1042"/>
      <c r="T78" s="1311">
        <f>T79+T83</f>
        <v>86450000</v>
      </c>
      <c r="U78" s="756">
        <f t="shared" si="0"/>
        <v>86450000</v>
      </c>
      <c r="V78" s="761"/>
    </row>
    <row r="79" spans="2:22" x14ac:dyDescent="0.25">
      <c r="B79" s="1014">
        <v>1</v>
      </c>
      <c r="C79" s="1060" t="s">
        <v>239</v>
      </c>
      <c r="D79" s="1060" t="s">
        <v>84</v>
      </c>
      <c r="E79" s="1016">
        <v>18</v>
      </c>
      <c r="F79" s="1016">
        <v>2</v>
      </c>
      <c r="G79" s="1061">
        <v>5</v>
      </c>
      <c r="H79" s="1061">
        <v>2</v>
      </c>
      <c r="I79" s="1061">
        <v>3</v>
      </c>
      <c r="J79" s="1060">
        <v>12</v>
      </c>
      <c r="K79" s="1060"/>
      <c r="L79" s="1062" t="s">
        <v>224</v>
      </c>
      <c r="M79" s="1063"/>
      <c r="N79" s="1064"/>
      <c r="O79" s="1065"/>
      <c r="P79" s="1302"/>
      <c r="Q79" s="1063"/>
      <c r="R79" s="1064"/>
      <c r="S79" s="1065"/>
      <c r="T79" s="1311">
        <f>T80</f>
        <v>44800000</v>
      </c>
      <c r="U79" s="756">
        <f t="shared" si="0"/>
        <v>44800000</v>
      </c>
      <c r="V79" s="761"/>
    </row>
    <row r="80" spans="2:22" x14ac:dyDescent="0.25">
      <c r="B80" s="1014">
        <v>1</v>
      </c>
      <c r="C80" s="1060" t="s">
        <v>239</v>
      </c>
      <c r="D80" s="1060" t="s">
        <v>84</v>
      </c>
      <c r="E80" s="1016">
        <v>18</v>
      </c>
      <c r="F80" s="1016">
        <v>2</v>
      </c>
      <c r="G80" s="1061">
        <v>5</v>
      </c>
      <c r="H80" s="1061">
        <v>2</v>
      </c>
      <c r="I80" s="1061">
        <v>3</v>
      </c>
      <c r="J80" s="1060">
        <v>12</v>
      </c>
      <c r="K80" s="1060" t="s">
        <v>97</v>
      </c>
      <c r="L80" s="1131" t="s">
        <v>792</v>
      </c>
      <c r="M80" s="1063"/>
      <c r="N80" s="1064"/>
      <c r="O80" s="1065"/>
      <c r="P80" s="1302"/>
      <c r="Q80" s="1063"/>
      <c r="R80" s="1064"/>
      <c r="S80" s="1065"/>
      <c r="T80" s="1124">
        <f>SUM(T81)</f>
        <v>44800000</v>
      </c>
      <c r="U80" s="756">
        <f t="shared" si="0"/>
        <v>44800000</v>
      </c>
      <c r="V80" s="761"/>
    </row>
    <row r="81" spans="2:23" x14ac:dyDescent="0.25">
      <c r="B81" s="1014"/>
      <c r="C81" s="1060"/>
      <c r="D81" s="1060"/>
      <c r="E81" s="1016"/>
      <c r="F81" s="1016"/>
      <c r="G81" s="1061"/>
      <c r="H81" s="1061"/>
      <c r="I81" s="1061"/>
      <c r="J81" s="1060"/>
      <c r="K81" s="1060"/>
      <c r="L81" s="2456" t="s">
        <v>793</v>
      </c>
      <c r="M81" s="1123"/>
      <c r="N81" s="2453"/>
      <c r="O81" s="2457"/>
      <c r="P81" s="1305"/>
      <c r="Q81" s="1123">
        <v>4</v>
      </c>
      <c r="R81" s="2453" t="s">
        <v>578</v>
      </c>
      <c r="S81" s="2457">
        <v>11200000</v>
      </c>
      <c r="T81" s="1124">
        <f>S81*Q81</f>
        <v>44800000</v>
      </c>
      <c r="U81" s="756">
        <f t="shared" si="0"/>
        <v>44800000</v>
      </c>
      <c r="V81" s="761"/>
    </row>
    <row r="82" spans="2:23" x14ac:dyDescent="0.25">
      <c r="B82" s="1014"/>
      <c r="C82" s="1060"/>
      <c r="D82" s="1060"/>
      <c r="E82" s="1016"/>
      <c r="F82" s="1016"/>
      <c r="G82" s="1061"/>
      <c r="H82" s="1061"/>
      <c r="I82" s="1061"/>
      <c r="J82" s="1060"/>
      <c r="K82" s="1060"/>
      <c r="L82" s="2456"/>
      <c r="M82" s="1123"/>
      <c r="N82" s="2453"/>
      <c r="O82" s="2457"/>
      <c r="P82" s="1305"/>
      <c r="Q82" s="1123"/>
      <c r="R82" s="2453"/>
      <c r="S82" s="2457"/>
      <c r="T82" s="1124"/>
      <c r="U82" s="756"/>
      <c r="V82" s="761"/>
    </row>
    <row r="83" spans="2:23" x14ac:dyDescent="0.25">
      <c r="B83" s="1014">
        <v>1</v>
      </c>
      <c r="C83" s="1060" t="s">
        <v>239</v>
      </c>
      <c r="D83" s="1060" t="s">
        <v>84</v>
      </c>
      <c r="E83" s="1016">
        <v>18</v>
      </c>
      <c r="F83" s="1016">
        <v>2</v>
      </c>
      <c r="G83" s="1061">
        <v>5</v>
      </c>
      <c r="H83" s="1061">
        <v>2</v>
      </c>
      <c r="I83" s="1061">
        <v>3</v>
      </c>
      <c r="J83" s="1060">
        <v>16</v>
      </c>
      <c r="K83" s="1060"/>
      <c r="L83" s="1132" t="s">
        <v>794</v>
      </c>
      <c r="M83" s="1123"/>
      <c r="N83" s="2453"/>
      <c r="O83" s="2457"/>
      <c r="P83" s="1302"/>
      <c r="Q83" s="1123"/>
      <c r="R83" s="2453"/>
      <c r="S83" s="2457"/>
      <c r="T83" s="1311">
        <f>T84+T86</f>
        <v>41650000</v>
      </c>
      <c r="U83" s="756">
        <f t="shared" si="0"/>
        <v>41650000</v>
      </c>
      <c r="V83" s="761"/>
    </row>
    <row r="84" spans="2:23" x14ac:dyDescent="0.25">
      <c r="B84" s="1014">
        <v>1</v>
      </c>
      <c r="C84" s="1060" t="s">
        <v>239</v>
      </c>
      <c r="D84" s="1060" t="s">
        <v>84</v>
      </c>
      <c r="E84" s="1016">
        <v>18</v>
      </c>
      <c r="F84" s="1016">
        <v>2</v>
      </c>
      <c r="G84" s="1061">
        <v>5</v>
      </c>
      <c r="H84" s="1061">
        <v>2</v>
      </c>
      <c r="I84" s="1061">
        <v>3</v>
      </c>
      <c r="J84" s="1060">
        <v>16</v>
      </c>
      <c r="K84" s="1060" t="s">
        <v>84</v>
      </c>
      <c r="L84" s="1131" t="s">
        <v>795</v>
      </c>
      <c r="M84" s="1123"/>
      <c r="N84" s="2453"/>
      <c r="O84" s="2457"/>
      <c r="P84" s="1303"/>
      <c r="Q84" s="1123"/>
      <c r="R84" s="2453"/>
      <c r="S84" s="2457"/>
      <c r="T84" s="1312">
        <f>SUM(T85)</f>
        <v>25000000</v>
      </c>
      <c r="U84" s="756">
        <f t="shared" si="0"/>
        <v>25000000</v>
      </c>
      <c r="V84" s="761"/>
    </row>
    <row r="85" spans="2:23" x14ac:dyDescent="0.25">
      <c r="B85" s="1133"/>
      <c r="C85" s="1134"/>
      <c r="D85" s="1134"/>
      <c r="E85" s="1135"/>
      <c r="F85" s="1135"/>
      <c r="G85" s="1136"/>
      <c r="H85" s="1136"/>
      <c r="I85" s="1136"/>
      <c r="J85" s="1134"/>
      <c r="K85" s="1134"/>
      <c r="L85" s="1137" t="s">
        <v>796</v>
      </c>
      <c r="M85" s="2458"/>
      <c r="N85" s="2459"/>
      <c r="O85" s="2460"/>
      <c r="P85" s="1306"/>
      <c r="Q85" s="2458">
        <v>2</v>
      </c>
      <c r="R85" s="2459" t="s">
        <v>578</v>
      </c>
      <c r="S85" s="2460">
        <v>12500000</v>
      </c>
      <c r="T85" s="1315">
        <f t="shared" ref="T85" si="18">S85*Q85</f>
        <v>25000000</v>
      </c>
      <c r="U85" s="756">
        <f t="shared" si="0"/>
        <v>25000000</v>
      </c>
      <c r="V85" s="761"/>
    </row>
    <row r="86" spans="2:23" ht="37.5" x14ac:dyDescent="0.25">
      <c r="B86" s="654">
        <v>1</v>
      </c>
      <c r="C86" s="564" t="s">
        <v>239</v>
      </c>
      <c r="D86" s="564" t="s">
        <v>84</v>
      </c>
      <c r="E86" s="570">
        <v>18</v>
      </c>
      <c r="F86" s="570">
        <v>2</v>
      </c>
      <c r="G86" s="566">
        <v>5</v>
      </c>
      <c r="H86" s="566">
        <v>2</v>
      </c>
      <c r="I86" s="566">
        <v>3</v>
      </c>
      <c r="J86" s="564">
        <v>16</v>
      </c>
      <c r="K86" s="564" t="s">
        <v>112</v>
      </c>
      <c r="L86" s="1138" t="s">
        <v>797</v>
      </c>
      <c r="M86" s="131"/>
      <c r="N86" s="134"/>
      <c r="O86" s="1140"/>
      <c r="P86" s="1169"/>
      <c r="Q86" s="131"/>
      <c r="R86" s="134"/>
      <c r="S86" s="1140"/>
      <c r="T86" s="1210">
        <f>SUM(T87:T91)</f>
        <v>16650000</v>
      </c>
      <c r="U86" s="756">
        <f t="shared" si="0"/>
        <v>16650000</v>
      </c>
      <c r="V86" s="761"/>
    </row>
    <row r="87" spans="2:23" x14ac:dyDescent="0.25">
      <c r="B87" s="654"/>
      <c r="C87" s="564"/>
      <c r="D87" s="564"/>
      <c r="E87" s="826"/>
      <c r="F87" s="826"/>
      <c r="G87" s="566"/>
      <c r="H87" s="566"/>
      <c r="I87" s="566"/>
      <c r="J87" s="564"/>
      <c r="K87" s="564"/>
      <c r="L87" s="1139" t="s">
        <v>798</v>
      </c>
      <c r="M87" s="131"/>
      <c r="N87" s="134"/>
      <c r="O87" s="1140"/>
      <c r="P87" s="1594"/>
      <c r="Q87" s="131">
        <v>1</v>
      </c>
      <c r="R87" s="134" t="s">
        <v>578</v>
      </c>
      <c r="S87" s="1140">
        <v>1200000</v>
      </c>
      <c r="T87" s="1595">
        <f t="shared" ref="T87" si="19">S87*Q87</f>
        <v>1200000</v>
      </c>
      <c r="U87" s="756">
        <f t="shared" si="0"/>
        <v>1200000</v>
      </c>
      <c r="V87" s="761"/>
    </row>
    <row r="88" spans="2:23" x14ac:dyDescent="0.25">
      <c r="B88" s="654"/>
      <c r="C88" s="564"/>
      <c r="D88" s="564"/>
      <c r="E88" s="826"/>
      <c r="F88" s="826"/>
      <c r="G88" s="566"/>
      <c r="H88" s="566"/>
      <c r="I88" s="566"/>
      <c r="J88" s="564"/>
      <c r="K88" s="564"/>
      <c r="L88" s="2461" t="s">
        <v>799</v>
      </c>
      <c r="M88" s="131"/>
      <c r="N88" s="134"/>
      <c r="O88" s="1140"/>
      <c r="P88" s="1594"/>
      <c r="Q88" s="131">
        <v>1</v>
      </c>
      <c r="R88" s="134" t="s">
        <v>578</v>
      </c>
      <c r="S88" s="1140">
        <v>9000000</v>
      </c>
      <c r="T88" s="1595">
        <f>S88*Q88</f>
        <v>9000000</v>
      </c>
      <c r="U88" s="756">
        <f t="shared" si="0"/>
        <v>9000000</v>
      </c>
      <c r="V88" s="761"/>
    </row>
    <row r="89" spans="2:23" x14ac:dyDescent="0.25">
      <c r="B89" s="1101"/>
      <c r="C89" s="1102"/>
      <c r="D89" s="1102"/>
      <c r="E89" s="1103"/>
      <c r="F89" s="1103"/>
      <c r="G89" s="1104"/>
      <c r="H89" s="664"/>
      <c r="I89" s="664"/>
      <c r="J89" s="814"/>
      <c r="K89" s="1102"/>
      <c r="L89" s="2461" t="s">
        <v>800</v>
      </c>
      <c r="M89" s="131"/>
      <c r="N89" s="134"/>
      <c r="O89" s="1140"/>
      <c r="P89" s="1301"/>
      <c r="Q89" s="131">
        <v>1</v>
      </c>
      <c r="R89" s="134" t="s">
        <v>578</v>
      </c>
      <c r="S89" s="903">
        <v>1150000</v>
      </c>
      <c r="T89" s="1316">
        <f>S89*Q89</f>
        <v>1150000</v>
      </c>
      <c r="U89" s="756">
        <f t="shared" si="0"/>
        <v>1150000</v>
      </c>
      <c r="V89" s="761"/>
    </row>
    <row r="90" spans="2:23" x14ac:dyDescent="0.25">
      <c r="B90" s="1101"/>
      <c r="C90" s="1102"/>
      <c r="D90" s="1102"/>
      <c r="E90" s="1103"/>
      <c r="F90" s="1103"/>
      <c r="G90" s="1104"/>
      <c r="H90" s="664"/>
      <c r="I90" s="664"/>
      <c r="J90" s="814"/>
      <c r="K90" s="1102"/>
      <c r="L90" s="2461" t="s">
        <v>801</v>
      </c>
      <c r="M90" s="131"/>
      <c r="N90" s="134"/>
      <c r="O90" s="1140"/>
      <c r="P90" s="1301"/>
      <c r="Q90" s="131">
        <v>1</v>
      </c>
      <c r="R90" s="134" t="s">
        <v>578</v>
      </c>
      <c r="S90" s="903">
        <v>4000000</v>
      </c>
      <c r="T90" s="1316">
        <f>S90*Q90</f>
        <v>4000000</v>
      </c>
      <c r="U90" s="756">
        <f t="shared" si="0"/>
        <v>4000000</v>
      </c>
      <c r="V90" s="813"/>
    </row>
    <row r="91" spans="2:23" x14ac:dyDescent="0.25">
      <c r="B91" s="1101"/>
      <c r="C91" s="1102"/>
      <c r="D91" s="1102"/>
      <c r="E91" s="1103"/>
      <c r="F91" s="1103"/>
      <c r="G91" s="1104"/>
      <c r="H91" s="664"/>
      <c r="I91" s="664"/>
      <c r="J91" s="814"/>
      <c r="K91" s="1102"/>
      <c r="L91" s="2461" t="s">
        <v>802</v>
      </c>
      <c r="M91" s="131"/>
      <c r="N91" s="134"/>
      <c r="O91" s="1140"/>
      <c r="P91" s="1301"/>
      <c r="Q91" s="131">
        <v>1</v>
      </c>
      <c r="R91" s="134" t="s">
        <v>578</v>
      </c>
      <c r="S91" s="903">
        <v>1300000</v>
      </c>
      <c r="T91" s="1316">
        <f>S91*Q91</f>
        <v>1300000</v>
      </c>
      <c r="U91" s="756">
        <f t="shared" si="0"/>
        <v>1300000</v>
      </c>
      <c r="V91" s="813"/>
    </row>
    <row r="92" spans="2:23" x14ac:dyDescent="0.25">
      <c r="B92" s="1101"/>
      <c r="C92" s="1104"/>
      <c r="D92" s="1104"/>
      <c r="E92" s="1104"/>
      <c r="F92" s="1104"/>
      <c r="G92" s="1104"/>
      <c r="H92" s="664"/>
      <c r="I92" s="1110"/>
      <c r="J92" s="1111"/>
      <c r="K92" s="1102"/>
      <c r="L92" s="899"/>
      <c r="M92" s="1112"/>
      <c r="N92" s="863"/>
      <c r="O92" s="1113"/>
      <c r="P92" s="1114"/>
      <c r="Q92" s="1115"/>
      <c r="R92" s="1116"/>
      <c r="S92" s="1117"/>
      <c r="T92" s="1141"/>
      <c r="U92" s="756"/>
      <c r="V92" s="813"/>
    </row>
    <row r="93" spans="2:23" ht="14.5" thickBot="1" x14ac:dyDescent="0.3">
      <c r="B93" s="2730" t="s">
        <v>15</v>
      </c>
      <c r="C93" s="2731"/>
      <c r="D93" s="2731"/>
      <c r="E93" s="2731"/>
      <c r="F93" s="2731"/>
      <c r="G93" s="2731"/>
      <c r="H93" s="2731"/>
      <c r="I93" s="2731"/>
      <c r="J93" s="2731"/>
      <c r="K93" s="2731"/>
      <c r="L93" s="2731"/>
      <c r="M93" s="2731"/>
      <c r="N93" s="2731"/>
      <c r="O93" s="2732"/>
      <c r="P93" s="436">
        <f>P29</f>
        <v>111704220</v>
      </c>
      <c r="Q93" s="2915"/>
      <c r="R93" s="2916"/>
      <c r="S93" s="2917"/>
      <c r="T93" s="1605">
        <f>T29</f>
        <v>302444220</v>
      </c>
      <c r="U93" s="935">
        <f>SUM(U28:U91)</f>
        <v>1346760000</v>
      </c>
      <c r="V93" s="957">
        <f>U93/P93*100</f>
        <v>1205.6482736283374</v>
      </c>
    </row>
    <row r="94" spans="2:23" ht="13" thickTop="1" x14ac:dyDescent="0.25">
      <c r="B94" s="2918"/>
      <c r="C94" s="2919"/>
      <c r="D94" s="2919"/>
      <c r="E94" s="2919"/>
      <c r="F94" s="2919"/>
      <c r="G94" s="2919"/>
      <c r="H94" s="2919"/>
      <c r="I94" s="2919"/>
      <c r="J94" s="2919"/>
      <c r="K94" s="2919"/>
      <c r="L94" s="2919"/>
      <c r="M94" s="2919"/>
      <c r="N94" s="2919"/>
      <c r="O94" s="2919"/>
      <c r="P94" s="2919"/>
      <c r="Q94" s="2919"/>
      <c r="R94" s="2919"/>
      <c r="S94" s="2919"/>
      <c r="T94" s="2919"/>
      <c r="U94" s="2919"/>
      <c r="V94" s="2920"/>
    </row>
    <row r="95" spans="2:23" ht="12.75" customHeight="1" x14ac:dyDescent="0.25">
      <c r="B95" s="466"/>
      <c r="C95" s="1583"/>
      <c r="D95" s="1583"/>
      <c r="E95" s="1583"/>
      <c r="F95" s="1583"/>
      <c r="G95" s="1583"/>
      <c r="H95" s="1583"/>
      <c r="I95" s="1583"/>
      <c r="J95" s="1583"/>
      <c r="K95" s="1583"/>
      <c r="L95" s="396"/>
      <c r="M95" s="344"/>
      <c r="N95" s="344"/>
      <c r="O95" s="344"/>
      <c r="P95" s="344"/>
      <c r="Q95" s="1583"/>
      <c r="R95" s="344"/>
      <c r="S95" s="2921" t="str">
        <f>'PPID&amp;Propaganda'!S106</f>
        <v>Banda Aceh,               2020</v>
      </c>
      <c r="T95" s="2921"/>
      <c r="U95" s="2921"/>
      <c r="V95" s="936"/>
      <c r="W95" s="100"/>
    </row>
    <row r="96" spans="2:23" x14ac:dyDescent="0.25">
      <c r="B96" s="466"/>
      <c r="C96" s="1583"/>
      <c r="D96" s="1583"/>
      <c r="E96" s="1583"/>
      <c r="F96" s="1583"/>
      <c r="G96" s="1583"/>
      <c r="H96" s="1583"/>
      <c r="I96" s="1583"/>
      <c r="J96" s="1583"/>
      <c r="K96" s="1583"/>
      <c r="L96" s="1606" t="str">
        <f>'PPID&amp;Propaganda'!L107</f>
        <v>Mengesahkan,</v>
      </c>
      <c r="M96" s="344"/>
      <c r="N96" s="344"/>
      <c r="O96" s="344"/>
      <c r="P96" s="344"/>
      <c r="Q96" s="1583"/>
      <c r="R96" s="344"/>
      <c r="S96" s="2922" t="str">
        <f>'PPID&amp;Propaganda'!S107:U107</f>
        <v>Pengguna Anggaran</v>
      </c>
      <c r="T96" s="2922"/>
      <c r="U96" s="2922"/>
      <c r="V96" s="397"/>
      <c r="W96" s="22"/>
    </row>
    <row r="97" spans="2:23" ht="12.75" customHeight="1" x14ac:dyDescent="0.25">
      <c r="B97" s="466"/>
      <c r="C97" s="1583"/>
      <c r="D97" s="1583"/>
      <c r="E97" s="1583"/>
      <c r="F97" s="1583"/>
      <c r="G97" s="1583"/>
      <c r="H97" s="1583"/>
      <c r="I97" s="1583"/>
      <c r="J97" s="1583"/>
      <c r="K97" s="1583"/>
      <c r="L97" s="1606" t="str">
        <f>'PPID&amp;Propaganda'!L108</f>
        <v>Pejabat Pengelola Keuangan Daerah</v>
      </c>
      <c r="M97" s="344"/>
      <c r="N97" s="344"/>
      <c r="O97" s="344"/>
      <c r="P97" s="344"/>
      <c r="Q97" s="1583"/>
      <c r="R97" s="344"/>
      <c r="S97" s="2922" t="str">
        <f>'PPID&amp;Propaganda'!S108</f>
        <v xml:space="preserve"> Satuan Kerja Perangkat Daerah </v>
      </c>
      <c r="T97" s="2922"/>
      <c r="U97" s="2922"/>
      <c r="V97" s="397"/>
      <c r="W97" s="22"/>
    </row>
    <row r="98" spans="2:23" x14ac:dyDescent="0.25">
      <c r="B98" s="466"/>
      <c r="C98" s="1583"/>
      <c r="D98" s="1583"/>
      <c r="E98" s="1583"/>
      <c r="F98" s="1583"/>
      <c r="G98" s="1583"/>
      <c r="H98" s="1583"/>
      <c r="I98" s="1583"/>
      <c r="J98" s="1583"/>
      <c r="K98" s="1583"/>
      <c r="L98" s="394"/>
      <c r="M98" s="344"/>
      <c r="N98" s="344"/>
      <c r="O98" s="344"/>
      <c r="P98" s="344"/>
      <c r="Q98" s="1583"/>
      <c r="R98" s="344"/>
      <c r="S98" s="937"/>
      <c r="T98" s="938"/>
      <c r="U98" s="938"/>
      <c r="V98" s="939"/>
      <c r="W98" s="102"/>
    </row>
    <row r="99" spans="2:23" x14ac:dyDescent="0.25">
      <c r="B99" s="466"/>
      <c r="C99" s="1583"/>
      <c r="D99" s="1583"/>
      <c r="E99" s="1583"/>
      <c r="F99" s="1583"/>
      <c r="G99" s="1583"/>
      <c r="H99" s="1583"/>
      <c r="I99" s="1583"/>
      <c r="J99" s="1583"/>
      <c r="K99" s="1583"/>
      <c r="L99" s="394"/>
      <c r="M99" s="344"/>
      <c r="N99" s="344"/>
      <c r="O99" s="344"/>
      <c r="P99" s="344"/>
      <c r="Q99" s="1583"/>
      <c r="R99" s="344"/>
      <c r="S99" s="937"/>
      <c r="T99" s="937"/>
      <c r="U99" s="937"/>
      <c r="V99" s="940"/>
      <c r="W99" s="103"/>
    </row>
    <row r="100" spans="2:23" x14ac:dyDescent="0.25">
      <c r="B100" s="466"/>
      <c r="C100" s="1583"/>
      <c r="D100" s="1583"/>
      <c r="E100" s="1583"/>
      <c r="F100" s="1583"/>
      <c r="G100" s="1583"/>
      <c r="H100" s="1583"/>
      <c r="I100" s="1583"/>
      <c r="J100" s="1583"/>
      <c r="K100" s="1583"/>
      <c r="L100" s="941"/>
      <c r="M100" s="344"/>
      <c r="N100" s="344"/>
      <c r="O100" s="344"/>
      <c r="P100" s="344"/>
      <c r="Q100" s="1583"/>
      <c r="R100" s="344"/>
      <c r="S100" s="937"/>
      <c r="T100" s="938"/>
      <c r="U100" s="938"/>
      <c r="V100" s="939"/>
      <c r="W100" s="102"/>
    </row>
    <row r="101" spans="2:23" ht="14" x14ac:dyDescent="0.25">
      <c r="B101" s="466"/>
      <c r="C101" s="1583"/>
      <c r="D101" s="1583"/>
      <c r="E101" s="1583"/>
      <c r="F101" s="1583"/>
      <c r="G101" s="1583"/>
      <c r="H101" s="1583"/>
      <c r="I101" s="1583"/>
      <c r="J101" s="1583"/>
      <c r="K101" s="1583"/>
      <c r="L101" s="942" t="str">
        <f>'PPID&amp;Propaganda'!L112</f>
        <v>M. Iqbal Rokan, S.STP.</v>
      </c>
      <c r="M101" s="344"/>
      <c r="N101" s="344"/>
      <c r="O101" s="344"/>
      <c r="P101" s="344"/>
      <c r="Q101" s="1583"/>
      <c r="R101" s="344"/>
      <c r="S101" s="2923" t="str">
        <f>'PPID&amp;Propaganda'!S112</f>
        <v>Bustami, SH</v>
      </c>
      <c r="T101" s="2923"/>
      <c r="U101" s="2923"/>
      <c r="V101" s="400"/>
      <c r="W101" s="104"/>
    </row>
    <row r="102" spans="2:23" x14ac:dyDescent="0.25">
      <c r="B102" s="466"/>
      <c r="C102" s="1583"/>
      <c r="D102" s="1583"/>
      <c r="E102" s="1583"/>
      <c r="F102" s="1583"/>
      <c r="G102" s="1583"/>
      <c r="H102" s="1583"/>
      <c r="I102" s="1583"/>
      <c r="J102" s="1583"/>
      <c r="K102" s="1583"/>
      <c r="L102" s="1606" t="str">
        <f>'PPID&amp;Propaganda'!L113</f>
        <v>Nip. 19780505 199810 1 001</v>
      </c>
      <c r="M102" s="344"/>
      <c r="N102" s="344"/>
      <c r="O102" s="344"/>
      <c r="P102" s="344"/>
      <c r="Q102" s="1583"/>
      <c r="R102" s="344"/>
      <c r="S102" s="2922" t="str">
        <f>'PPID&amp;Propaganda'!S113</f>
        <v>Pembina Utama Muda / Nip. 196308241987031004</v>
      </c>
      <c r="T102" s="2922"/>
      <c r="U102" s="2922"/>
      <c r="V102" s="397"/>
      <c r="W102" s="22"/>
    </row>
    <row r="103" spans="2:23" x14ac:dyDescent="0.25">
      <c r="B103" s="466"/>
      <c r="C103" s="1583"/>
      <c r="D103" s="1583"/>
      <c r="E103" s="1583"/>
      <c r="F103" s="1583"/>
      <c r="G103" s="1583"/>
      <c r="H103" s="1583"/>
      <c r="I103" s="1583"/>
      <c r="J103" s="1583"/>
      <c r="K103" s="1583"/>
      <c r="L103" s="1606"/>
      <c r="M103" s="344"/>
      <c r="N103" s="344"/>
      <c r="O103" s="344"/>
      <c r="P103" s="344"/>
      <c r="Q103" s="1583"/>
      <c r="R103" s="344"/>
      <c r="S103" s="1606"/>
      <c r="T103" s="1606"/>
      <c r="U103" s="1606"/>
      <c r="V103" s="943"/>
      <c r="W103" s="21"/>
    </row>
    <row r="104" spans="2:23" ht="14.25" customHeight="1" x14ac:dyDescent="0.25">
      <c r="B104" s="2705" t="s">
        <v>286</v>
      </c>
      <c r="C104" s="2706"/>
      <c r="D104" s="2706"/>
      <c r="E104" s="2706"/>
      <c r="F104" s="2706"/>
      <c r="G104" s="2706"/>
      <c r="H104" s="2706"/>
      <c r="I104" s="2706"/>
      <c r="J104" s="2706"/>
      <c r="K104" s="2706"/>
      <c r="L104" s="2706"/>
      <c r="M104" s="2707" t="s">
        <v>145</v>
      </c>
      <c r="N104" s="2708"/>
      <c r="O104" s="2708"/>
      <c r="P104" s="2708"/>
      <c r="Q104" s="2708"/>
      <c r="R104" s="2708"/>
      <c r="S104" s="2708"/>
      <c r="T104" s="2708"/>
      <c r="U104" s="2708"/>
      <c r="V104" s="2709"/>
    </row>
    <row r="105" spans="2:23" ht="14.25" customHeight="1" x14ac:dyDescent="0.25">
      <c r="B105" s="2893"/>
      <c r="C105" s="2894"/>
      <c r="D105" s="2894"/>
      <c r="E105" s="2894"/>
      <c r="F105" s="2894"/>
      <c r="G105" s="2894"/>
      <c r="H105" s="2894"/>
      <c r="I105" s="2894"/>
      <c r="J105" s="2894"/>
      <c r="K105" s="2894"/>
      <c r="L105" s="2895"/>
      <c r="M105" s="1599" t="s">
        <v>142</v>
      </c>
      <c r="N105" s="2747"/>
      <c r="O105" s="2747"/>
      <c r="P105" s="2747"/>
      <c r="Q105" s="2746" t="s">
        <v>143</v>
      </c>
      <c r="R105" s="2746"/>
      <c r="S105" s="2746"/>
      <c r="T105" s="1597" t="s">
        <v>144</v>
      </c>
      <c r="U105" s="2746" t="s">
        <v>146</v>
      </c>
      <c r="V105" s="2748"/>
    </row>
    <row r="106" spans="2:23" ht="14.25" customHeight="1" x14ac:dyDescent="0.25">
      <c r="B106" s="2907" t="s">
        <v>293</v>
      </c>
      <c r="C106" s="2908"/>
      <c r="D106" s="2908"/>
      <c r="E106" s="2908"/>
      <c r="F106" s="2908"/>
      <c r="G106" s="2908"/>
      <c r="H106" s="2908"/>
      <c r="I106" s="2908"/>
      <c r="J106" s="2908"/>
      <c r="K106" s="2908"/>
      <c r="L106" s="944">
        <v>0</v>
      </c>
      <c r="M106" s="945">
        <v>1</v>
      </c>
      <c r="N106" s="2896" t="str">
        <f>'PPID&amp;Propaganda'!N117</f>
        <v>Weri, SE. MA</v>
      </c>
      <c r="O106" s="2897"/>
      <c r="P106" s="2897"/>
      <c r="Q106" s="2898" t="str">
        <f>'PPID&amp;Propaganda'!Q117</f>
        <v>19640525 198903 1 026</v>
      </c>
      <c r="R106" s="2563"/>
      <c r="S106" s="2564"/>
      <c r="T106" s="946" t="s">
        <v>302</v>
      </c>
      <c r="U106" s="947" t="s">
        <v>287</v>
      </c>
      <c r="V106" s="451"/>
    </row>
    <row r="107" spans="2:23" ht="14" x14ac:dyDescent="0.25">
      <c r="B107" s="2907" t="s">
        <v>294</v>
      </c>
      <c r="C107" s="2908"/>
      <c r="D107" s="2908"/>
      <c r="E107" s="2908"/>
      <c r="F107" s="2908"/>
      <c r="G107" s="2908"/>
      <c r="H107" s="2908"/>
      <c r="I107" s="2908"/>
      <c r="J107" s="2908"/>
      <c r="K107" s="2908"/>
      <c r="L107" s="944">
        <v>0</v>
      </c>
      <c r="M107" s="945">
        <v>2</v>
      </c>
      <c r="N107" s="2909" t="str">
        <f>'PPID&amp;Propaganda'!N118</f>
        <v>Azmi, SH</v>
      </c>
      <c r="O107" s="2706"/>
      <c r="P107" s="2706"/>
      <c r="Q107" s="2898" t="str">
        <f>'PPID&amp;Propaganda'!Q118</f>
        <v>19680824 199903 1 004</v>
      </c>
      <c r="R107" s="2563"/>
      <c r="S107" s="2564"/>
      <c r="T107" s="946" t="s">
        <v>303</v>
      </c>
      <c r="U107" s="450"/>
      <c r="V107" s="948" t="s">
        <v>128</v>
      </c>
    </row>
    <row r="108" spans="2:23" ht="14" x14ac:dyDescent="0.25">
      <c r="B108" s="2907" t="s">
        <v>295</v>
      </c>
      <c r="C108" s="2908"/>
      <c r="D108" s="2908"/>
      <c r="E108" s="2908"/>
      <c r="F108" s="2908"/>
      <c r="G108" s="2908"/>
      <c r="H108" s="2908"/>
      <c r="I108" s="2908"/>
      <c r="J108" s="2908"/>
      <c r="K108" s="2908"/>
      <c r="L108" s="944">
        <v>0</v>
      </c>
      <c r="M108" s="949">
        <v>3</v>
      </c>
      <c r="N108" s="2909" t="str">
        <f>'PPID&amp;Propaganda'!N119</f>
        <v>Muhammad Syaifuddin Ambia, ST, MT</v>
      </c>
      <c r="O108" s="2706"/>
      <c r="P108" s="2706"/>
      <c r="Q108" s="2898" t="str">
        <f>'PPID&amp;Propaganda'!Q119</f>
        <v>19741010 200604 1 003</v>
      </c>
      <c r="R108" s="2563"/>
      <c r="S108" s="2564"/>
      <c r="T108" s="946" t="s">
        <v>304</v>
      </c>
      <c r="U108" s="950" t="s">
        <v>292</v>
      </c>
      <c r="V108" s="451"/>
    </row>
    <row r="109" spans="2:23" ht="15" customHeight="1" x14ac:dyDescent="0.25">
      <c r="B109" s="2907" t="s">
        <v>296</v>
      </c>
      <c r="C109" s="2908"/>
      <c r="D109" s="2908"/>
      <c r="E109" s="2908"/>
      <c r="F109" s="2908"/>
      <c r="G109" s="2908"/>
      <c r="H109" s="2908"/>
      <c r="I109" s="2908"/>
      <c r="J109" s="2908"/>
      <c r="K109" s="2908"/>
      <c r="L109" s="944">
        <v>0</v>
      </c>
      <c r="M109" s="945">
        <v>4</v>
      </c>
      <c r="N109" s="2909" t="str">
        <f>'PPID&amp;Propaganda'!N120</f>
        <v>Basri, SE, M.Si</v>
      </c>
      <c r="O109" s="2706"/>
      <c r="P109" s="2706"/>
      <c r="Q109" s="2898" t="str">
        <f>'PPID&amp;Propaganda'!Q120</f>
        <v>19691213 199403 1 002</v>
      </c>
      <c r="R109" s="2563"/>
      <c r="S109" s="2564"/>
      <c r="T109" s="946" t="s">
        <v>305</v>
      </c>
      <c r="U109" s="450"/>
      <c r="V109" s="948" t="s">
        <v>288</v>
      </c>
    </row>
    <row r="110" spans="2:23" ht="14" x14ac:dyDescent="0.25">
      <c r="B110" s="2907" t="s">
        <v>297</v>
      </c>
      <c r="C110" s="2908"/>
      <c r="D110" s="2908"/>
      <c r="E110" s="2908"/>
      <c r="F110" s="2908"/>
      <c r="G110" s="2908"/>
      <c r="H110" s="2908"/>
      <c r="I110" s="2908"/>
      <c r="J110" s="2908"/>
      <c r="K110" s="2908"/>
      <c r="L110" s="951">
        <f>SUM(L106:L109)</f>
        <v>0</v>
      </c>
      <c r="M110" s="952">
        <v>5</v>
      </c>
      <c r="N110" s="2909" t="str">
        <f>'PPID&amp;Propaganda'!N121</f>
        <v>Dewi Shinta Reza, SE. Ak</v>
      </c>
      <c r="O110" s="2706"/>
      <c r="P110" s="2706"/>
      <c r="Q110" s="2898" t="str">
        <f>'PPID&amp;Propaganda'!Q121</f>
        <v>19750630 200212 2 003</v>
      </c>
      <c r="R110" s="2563"/>
      <c r="S110" s="2564"/>
      <c r="T110" s="946" t="s">
        <v>306</v>
      </c>
      <c r="U110" s="950" t="s">
        <v>289</v>
      </c>
      <c r="V110" s="451"/>
    </row>
    <row r="111" spans="2:23" ht="13.5" customHeight="1" x14ac:dyDescent="0.25">
      <c r="B111" s="2893"/>
      <c r="C111" s="2894"/>
      <c r="D111" s="2894"/>
      <c r="E111" s="2894"/>
      <c r="F111" s="2894"/>
      <c r="G111" s="2894"/>
      <c r="H111" s="2894"/>
      <c r="I111" s="2894"/>
      <c r="J111" s="2894"/>
      <c r="K111" s="2894"/>
      <c r="L111" s="2895"/>
      <c r="M111" s="952">
        <v>6</v>
      </c>
      <c r="N111" s="2896" t="str">
        <f>'PPID&amp;Propaganda'!N122</f>
        <v>Harisman, S.STP, M.Ec.Dev</v>
      </c>
      <c r="O111" s="2897"/>
      <c r="P111" s="2897"/>
      <c r="Q111" s="2898" t="str">
        <f>'PPID&amp;Propaganda'!Q122</f>
        <v>19830101 200112 1 003</v>
      </c>
      <c r="R111" s="2563"/>
      <c r="S111" s="2564"/>
      <c r="T111" s="946" t="s">
        <v>307</v>
      </c>
      <c r="U111" s="450"/>
      <c r="V111" s="948" t="s">
        <v>290</v>
      </c>
    </row>
    <row r="112" spans="2:23" ht="14.5" thickBot="1" x14ac:dyDescent="0.3">
      <c r="B112" s="2899"/>
      <c r="C112" s="2900"/>
      <c r="D112" s="2900"/>
      <c r="E112" s="2900"/>
      <c r="F112" s="2900"/>
      <c r="G112" s="2900"/>
      <c r="H112" s="2900"/>
      <c r="I112" s="2900"/>
      <c r="J112" s="2900"/>
      <c r="K112" s="2900"/>
      <c r="L112" s="2901"/>
      <c r="M112" s="953">
        <v>7</v>
      </c>
      <c r="N112" s="2902" t="str">
        <f>'PPID&amp;Propaganda'!N123</f>
        <v>Alriandi, S.STP, M.Si</v>
      </c>
      <c r="O112" s="2903"/>
      <c r="P112" s="2903"/>
      <c r="Q112" s="2904" t="str">
        <f>'PPID&amp;Propaganda'!Q123</f>
        <v>19830308 200112 1 001</v>
      </c>
      <c r="R112" s="2905"/>
      <c r="S112" s="2906"/>
      <c r="T112" s="954" t="s">
        <v>308</v>
      </c>
      <c r="U112" s="955" t="s">
        <v>291</v>
      </c>
      <c r="V112" s="956"/>
    </row>
    <row r="113" spans="2:16" ht="13" thickTop="1" x14ac:dyDescent="0.25">
      <c r="B113" s="1596"/>
      <c r="C113" s="1596"/>
      <c r="D113" s="1596"/>
      <c r="E113" s="1596"/>
      <c r="F113" s="1596"/>
      <c r="G113" s="1596"/>
      <c r="H113" s="1596"/>
      <c r="I113" s="1596"/>
      <c r="J113" s="1596"/>
      <c r="K113" s="1596"/>
      <c r="L113" s="1596"/>
      <c r="M113" s="1596"/>
      <c r="N113" s="1596"/>
      <c r="O113" s="1596"/>
      <c r="P113" s="1596"/>
    </row>
    <row r="114" spans="2:16" x14ac:dyDescent="0.25">
      <c r="B114" s="1596"/>
      <c r="C114" s="1596"/>
      <c r="D114" s="1596"/>
      <c r="E114" s="1596"/>
      <c r="F114" s="1596"/>
      <c r="G114" s="1596"/>
      <c r="H114" s="1596"/>
      <c r="I114" s="1596"/>
      <c r="J114" s="1596"/>
      <c r="K114" s="1596"/>
      <c r="L114" s="1596"/>
      <c r="M114" s="1596"/>
      <c r="N114" s="1596"/>
      <c r="O114" s="1596"/>
      <c r="P114" s="1596"/>
    </row>
    <row r="115" spans="2:16" x14ac:dyDescent="0.25">
      <c r="B115" s="1596"/>
      <c r="C115" s="1596"/>
      <c r="D115" s="1596"/>
      <c r="E115" s="1596"/>
      <c r="F115" s="1596"/>
      <c r="G115" s="1596"/>
      <c r="H115" s="1596"/>
      <c r="I115" s="1596"/>
      <c r="J115" s="1596"/>
      <c r="K115" s="1596"/>
      <c r="L115" s="1596"/>
      <c r="M115" s="1596"/>
      <c r="N115" s="1596"/>
      <c r="O115" s="1596"/>
      <c r="P115" s="1596"/>
    </row>
    <row r="116" spans="2:16" x14ac:dyDescent="0.25">
      <c r="B116" s="1596"/>
      <c r="C116" s="1596"/>
      <c r="D116" s="1596"/>
      <c r="E116" s="1596"/>
      <c r="F116" s="1596"/>
      <c r="G116" s="1596"/>
      <c r="H116" s="1596"/>
      <c r="I116" s="1596"/>
      <c r="J116" s="1596"/>
      <c r="K116" s="1596"/>
      <c r="L116" s="1596"/>
      <c r="M116" s="1596"/>
      <c r="N116" s="1596"/>
      <c r="O116" s="1596"/>
      <c r="P116" s="1596"/>
    </row>
    <row r="117" spans="2:16" x14ac:dyDescent="0.25">
      <c r="B117" s="1596"/>
      <c r="C117" s="1596"/>
      <c r="D117" s="1596"/>
      <c r="E117" s="1596"/>
      <c r="F117" s="1596"/>
      <c r="G117" s="1596"/>
      <c r="H117" s="1596"/>
      <c r="I117" s="1596"/>
      <c r="J117" s="1596"/>
      <c r="K117" s="1596"/>
      <c r="L117" s="1596"/>
      <c r="M117" s="1596"/>
      <c r="N117" s="1596"/>
      <c r="O117" s="1596"/>
      <c r="P117" s="1596"/>
    </row>
    <row r="118" spans="2:16" x14ac:dyDescent="0.25">
      <c r="B118" s="1596"/>
      <c r="C118" s="1596"/>
      <c r="D118" s="1596"/>
      <c r="E118" s="1596"/>
      <c r="F118" s="1596"/>
      <c r="G118" s="1596"/>
      <c r="H118" s="1596"/>
      <c r="I118" s="1596"/>
      <c r="J118" s="1596"/>
      <c r="K118" s="1596"/>
      <c r="L118" s="1596"/>
      <c r="M118" s="1596"/>
      <c r="N118" s="1596"/>
      <c r="O118" s="1596"/>
      <c r="P118" s="1596"/>
    </row>
    <row r="119" spans="2:16" x14ac:dyDescent="0.25">
      <c r="B119" s="1596"/>
      <c r="C119" s="1596"/>
      <c r="D119" s="1596"/>
      <c r="E119" s="1596"/>
      <c r="F119" s="1596"/>
      <c r="G119" s="1596"/>
      <c r="H119" s="1596"/>
      <c r="I119" s="1596"/>
      <c r="J119" s="1596"/>
      <c r="K119" s="1596"/>
      <c r="L119" s="1596"/>
      <c r="M119" s="1596"/>
      <c r="N119" s="1596"/>
      <c r="O119" s="1596"/>
      <c r="P119" s="1596"/>
    </row>
    <row r="120" spans="2:16" x14ac:dyDescent="0.25">
      <c r="B120" s="1596"/>
      <c r="C120" s="1596"/>
      <c r="D120" s="1596"/>
      <c r="E120" s="1596"/>
      <c r="F120" s="1596"/>
      <c r="G120" s="1596"/>
      <c r="H120" s="1596"/>
      <c r="I120" s="1596"/>
      <c r="J120" s="1596"/>
      <c r="K120" s="1596"/>
      <c r="L120" s="1596"/>
      <c r="M120" s="1596"/>
      <c r="N120" s="1596"/>
      <c r="O120" s="1596"/>
      <c r="P120" s="1596"/>
    </row>
    <row r="121" spans="2:16" x14ac:dyDescent="0.25">
      <c r="B121" s="1596"/>
      <c r="C121" s="1596"/>
      <c r="D121" s="1596"/>
      <c r="E121" s="1596"/>
      <c r="F121" s="1596"/>
      <c r="G121" s="1596"/>
      <c r="H121" s="1596"/>
      <c r="I121" s="1596"/>
      <c r="J121" s="1596"/>
      <c r="K121" s="1596"/>
      <c r="L121" s="1596"/>
      <c r="M121" s="1596"/>
      <c r="N121" s="1596"/>
      <c r="O121" s="1596"/>
      <c r="P121" s="1596"/>
    </row>
    <row r="122" spans="2:16" x14ac:dyDescent="0.25">
      <c r="B122" s="1596"/>
      <c r="C122" s="1596"/>
      <c r="D122" s="1596"/>
      <c r="E122" s="1596"/>
      <c r="F122" s="1596"/>
      <c r="G122" s="1596"/>
      <c r="H122" s="1596"/>
      <c r="I122" s="1596"/>
      <c r="J122" s="1596"/>
      <c r="K122" s="1596"/>
      <c r="L122" s="1596"/>
      <c r="M122" s="1596"/>
      <c r="N122" s="1596"/>
      <c r="O122" s="1596"/>
      <c r="P122" s="1596"/>
    </row>
    <row r="123" spans="2:16" x14ac:dyDescent="0.25">
      <c r="B123" s="1596"/>
      <c r="C123" s="1596"/>
      <c r="D123" s="1596"/>
      <c r="E123" s="1596"/>
      <c r="F123" s="1596"/>
      <c r="G123" s="1596"/>
      <c r="H123" s="1596"/>
      <c r="I123" s="1596"/>
      <c r="J123" s="1596"/>
      <c r="K123" s="1596"/>
      <c r="L123" s="1596"/>
      <c r="M123" s="1596"/>
      <c r="N123" s="1596"/>
      <c r="O123" s="1596"/>
      <c r="P123" s="1596"/>
    </row>
    <row r="124" spans="2:16" x14ac:dyDescent="0.25">
      <c r="B124" s="1596"/>
      <c r="C124" s="1596"/>
      <c r="D124" s="1596"/>
      <c r="E124" s="1596"/>
      <c r="F124" s="1596"/>
      <c r="G124" s="1596"/>
      <c r="H124" s="1596"/>
      <c r="I124" s="1596"/>
      <c r="J124" s="1596"/>
      <c r="K124" s="1596"/>
      <c r="L124" s="1596"/>
      <c r="M124" s="1596"/>
      <c r="N124" s="1596"/>
      <c r="O124" s="1596"/>
      <c r="P124" s="1596"/>
    </row>
    <row r="125" spans="2:16" x14ac:dyDescent="0.25">
      <c r="B125" s="1596"/>
      <c r="C125" s="1596"/>
      <c r="D125" s="1596"/>
      <c r="E125" s="1596"/>
      <c r="F125" s="1596"/>
      <c r="G125" s="1596"/>
      <c r="H125" s="1596"/>
      <c r="I125" s="1596"/>
      <c r="J125" s="1596"/>
      <c r="K125" s="1596"/>
      <c r="L125" s="1596"/>
      <c r="M125" s="1596"/>
      <c r="N125" s="1596"/>
      <c r="O125" s="1596"/>
      <c r="P125" s="1596"/>
    </row>
    <row r="126" spans="2:16" x14ac:dyDescent="0.25">
      <c r="B126" s="1596"/>
      <c r="C126" s="1596"/>
      <c r="D126" s="1596"/>
      <c r="E126" s="1596"/>
      <c r="F126" s="1596"/>
      <c r="G126" s="1596"/>
      <c r="H126" s="1596"/>
      <c r="I126" s="1596"/>
      <c r="J126" s="1596"/>
      <c r="K126" s="1596"/>
      <c r="L126" s="1596"/>
      <c r="M126" s="1596"/>
      <c r="N126" s="1596"/>
      <c r="O126" s="1596"/>
      <c r="P126" s="1596"/>
    </row>
    <row r="127" spans="2:16" x14ac:dyDescent="0.25">
      <c r="B127" s="1596"/>
      <c r="C127" s="1596"/>
      <c r="D127" s="1596"/>
      <c r="E127" s="1596"/>
      <c r="F127" s="1596"/>
      <c r="G127" s="1596"/>
      <c r="H127" s="1596"/>
      <c r="I127" s="1596"/>
      <c r="J127" s="1596"/>
      <c r="K127" s="1596"/>
      <c r="L127" s="1596"/>
      <c r="M127" s="1596"/>
      <c r="N127" s="1596"/>
      <c r="O127" s="1596"/>
      <c r="P127" s="1596"/>
    </row>
    <row r="128" spans="2:16" x14ac:dyDescent="0.25">
      <c r="B128" s="1596"/>
      <c r="C128" s="1596"/>
      <c r="D128" s="1596"/>
      <c r="E128" s="1596"/>
      <c r="F128" s="1596"/>
      <c r="G128" s="1596"/>
      <c r="H128" s="1596"/>
      <c r="I128" s="1596"/>
      <c r="J128" s="1596"/>
      <c r="K128" s="1596"/>
      <c r="L128" s="1596"/>
      <c r="M128" s="1596"/>
      <c r="N128" s="1596"/>
      <c r="O128" s="1596"/>
      <c r="P128" s="1596"/>
    </row>
    <row r="129" spans="2:16" x14ac:dyDescent="0.25">
      <c r="B129" s="1596"/>
      <c r="C129" s="1596"/>
      <c r="D129" s="1596"/>
      <c r="E129" s="1596"/>
      <c r="F129" s="1596"/>
      <c r="G129" s="1596"/>
      <c r="H129" s="1596"/>
      <c r="I129" s="1596"/>
      <c r="J129" s="1596"/>
      <c r="K129" s="1596"/>
      <c r="L129" s="1596"/>
      <c r="M129" s="1596"/>
      <c r="N129" s="1596"/>
      <c r="O129" s="1596"/>
      <c r="P129" s="1596"/>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B27:K27"/>
    <mergeCell ref="V23:V26"/>
    <mergeCell ref="M24:M26"/>
    <mergeCell ref="N24:N26"/>
    <mergeCell ref="O24:O26"/>
    <mergeCell ref="Q24:Q26"/>
    <mergeCell ref="R24:R26"/>
    <mergeCell ref="S24:S26"/>
    <mergeCell ref="B104:L104"/>
    <mergeCell ref="M104:V104"/>
    <mergeCell ref="B93:O93"/>
    <mergeCell ref="Q93:S93"/>
    <mergeCell ref="B94:V94"/>
    <mergeCell ref="S95:U95"/>
    <mergeCell ref="S96:U96"/>
    <mergeCell ref="S97:U97"/>
    <mergeCell ref="S101:U101"/>
    <mergeCell ref="S102:U102"/>
    <mergeCell ref="B105:L105"/>
    <mergeCell ref="N105:P105"/>
    <mergeCell ref="Q105:S105"/>
    <mergeCell ref="U105:V105"/>
    <mergeCell ref="B106:K106"/>
    <mergeCell ref="N106:P106"/>
    <mergeCell ref="Q106:S106"/>
    <mergeCell ref="B107:K107"/>
    <mergeCell ref="N107:P107"/>
    <mergeCell ref="Q107:S107"/>
    <mergeCell ref="B108:K108"/>
    <mergeCell ref="N108:P108"/>
    <mergeCell ref="Q108:S108"/>
    <mergeCell ref="B109:K109"/>
    <mergeCell ref="N109:P109"/>
    <mergeCell ref="Q109:S109"/>
    <mergeCell ref="B110:K110"/>
    <mergeCell ref="N110:P110"/>
    <mergeCell ref="Q110:S110"/>
    <mergeCell ref="B111:L111"/>
    <mergeCell ref="N111:P111"/>
    <mergeCell ref="Q111:S111"/>
    <mergeCell ref="B112:L112"/>
    <mergeCell ref="N112:P112"/>
    <mergeCell ref="Q112:S112"/>
  </mergeCells>
  <pageMargins left="0.511811023622047" right="1.0255905510000001" top="0.511811024" bottom="0.25" header="0.31496062992126" footer="0.31496062992126"/>
  <pageSetup paperSize="5" scale="53" orientation="landscape" horizontalDpi="4294967293" verticalDpi="4294967293" r:id="rId1"/>
  <rowBreaks count="1" manualBreakCount="1">
    <brk id="61" min="1" max="21" man="1"/>
  </rowBreaks>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X152"/>
  <sheetViews>
    <sheetView view="pageBreakPreview" topLeftCell="A18" zoomScale="72" zoomScaleNormal="70" zoomScaleSheetLayoutView="100" workbookViewId="0">
      <selection activeCell="T32" sqref="T32"/>
    </sheetView>
  </sheetViews>
  <sheetFormatPr defaultColWidth="8.7265625" defaultRowHeight="12.5" x14ac:dyDescent="0.25"/>
  <cols>
    <col min="1" max="1" width="5.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 style="341" customWidth="1"/>
    <col min="17" max="17" width="9" style="341" customWidth="1"/>
    <col min="18" max="18" width="8" style="341" customWidth="1"/>
    <col min="19" max="19" width="15.1796875" style="341" customWidth="1"/>
    <col min="20" max="20" width="22.816406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963" t="s">
        <v>277</v>
      </c>
      <c r="T2" s="2964"/>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965" t="s">
        <v>327</v>
      </c>
      <c r="T3" s="2966"/>
      <c r="U3" s="2653" t="s">
        <v>283</v>
      </c>
      <c r="V3" s="2540"/>
    </row>
    <row r="4" spans="2:24" ht="14.25" customHeight="1" x14ac:dyDescent="0.25">
      <c r="B4" s="2544" t="s">
        <v>11</v>
      </c>
      <c r="C4" s="2545"/>
      <c r="D4" s="2545"/>
      <c r="E4" s="2545"/>
      <c r="F4" s="2545"/>
      <c r="G4" s="2545"/>
      <c r="H4" s="2545"/>
      <c r="I4" s="2545"/>
      <c r="J4" s="2545"/>
      <c r="K4" s="2545"/>
      <c r="L4" s="2545"/>
      <c r="M4" s="2545"/>
      <c r="N4" s="2545"/>
      <c r="O4" s="2545"/>
      <c r="P4" s="2545"/>
      <c r="Q4" s="2545"/>
      <c r="R4" s="2545"/>
      <c r="S4" s="2545"/>
      <c r="T4" s="2545"/>
      <c r="U4" s="2545"/>
      <c r="V4" s="2952"/>
    </row>
    <row r="5" spans="2:24" ht="15" customHeight="1" thickBot="1" x14ac:dyDescent="0.3">
      <c r="B5" s="2953" t="str">
        <f>'PPID&amp;Propaganda'!B5</f>
        <v>Tahun Anggaran 2020</v>
      </c>
      <c r="C5" s="2954"/>
      <c r="D5" s="2954"/>
      <c r="E5" s="2954"/>
      <c r="F5" s="2954"/>
      <c r="G5" s="2954"/>
      <c r="H5" s="2954"/>
      <c r="I5" s="2954"/>
      <c r="J5" s="2954"/>
      <c r="K5" s="2954"/>
      <c r="L5" s="2954"/>
      <c r="M5" s="2954"/>
      <c r="N5" s="2954"/>
      <c r="O5" s="2954"/>
      <c r="P5" s="2954"/>
      <c r="Q5" s="2954"/>
      <c r="R5" s="2954"/>
      <c r="S5" s="2954"/>
      <c r="T5" s="2954"/>
      <c r="U5" s="2954"/>
      <c r="V5" s="2955"/>
    </row>
    <row r="6" spans="2:24" ht="19" customHeight="1" x14ac:dyDescent="0.25">
      <c r="B6" s="2956" t="s">
        <v>314</v>
      </c>
      <c r="C6" s="2957"/>
      <c r="D6" s="2957"/>
      <c r="E6" s="2957"/>
      <c r="F6" s="2957"/>
      <c r="G6" s="2957"/>
      <c r="H6" s="2957"/>
      <c r="I6" s="2957"/>
      <c r="J6" s="2957"/>
      <c r="K6" s="2957"/>
      <c r="L6" s="1601" t="s">
        <v>241</v>
      </c>
      <c r="M6" s="2957" t="s">
        <v>237</v>
      </c>
      <c r="N6" s="2957"/>
      <c r="O6" s="2957"/>
      <c r="P6" s="2957"/>
      <c r="Q6" s="2957"/>
      <c r="R6" s="2957"/>
      <c r="S6" s="2957"/>
      <c r="T6" s="2957"/>
      <c r="U6" s="2957"/>
      <c r="V6" s="2958"/>
    </row>
    <row r="7" spans="2:24" ht="19" customHeight="1" thickBot="1" x14ac:dyDescent="0.3">
      <c r="B7" s="2959" t="s">
        <v>315</v>
      </c>
      <c r="C7" s="2960"/>
      <c r="D7" s="2960"/>
      <c r="E7" s="2960"/>
      <c r="F7" s="2960"/>
      <c r="G7" s="2960"/>
      <c r="H7" s="2960"/>
      <c r="I7" s="2960"/>
      <c r="J7" s="2960"/>
      <c r="K7" s="2960"/>
      <c r="L7" s="1602" t="s">
        <v>240</v>
      </c>
      <c r="M7" s="2961" t="s">
        <v>260</v>
      </c>
      <c r="N7" s="2961"/>
      <c r="O7" s="2961"/>
      <c r="P7" s="2961"/>
      <c r="Q7" s="2961"/>
      <c r="R7" s="2961"/>
      <c r="S7" s="2961"/>
      <c r="T7" s="2961"/>
      <c r="U7" s="2961"/>
      <c r="V7" s="2962"/>
    </row>
    <row r="8" spans="2:24" ht="19" customHeight="1" x14ac:dyDescent="0.25">
      <c r="B8" s="2939" t="s">
        <v>316</v>
      </c>
      <c r="C8" s="2940"/>
      <c r="D8" s="2940"/>
      <c r="E8" s="2940"/>
      <c r="F8" s="2940"/>
      <c r="G8" s="2940"/>
      <c r="H8" s="2940"/>
      <c r="I8" s="2940"/>
      <c r="J8" s="2940"/>
      <c r="K8" s="2940"/>
      <c r="L8" s="1603" t="s">
        <v>254</v>
      </c>
      <c r="M8" s="2948" t="s">
        <v>323</v>
      </c>
      <c r="N8" s="2948"/>
      <c r="O8" s="2948"/>
      <c r="P8" s="2948"/>
      <c r="Q8" s="2948"/>
      <c r="R8" s="2948"/>
      <c r="S8" s="2948"/>
      <c r="T8" s="2948"/>
      <c r="U8" s="2948"/>
      <c r="V8" s="2949"/>
    </row>
    <row r="9" spans="2:24" ht="19" customHeight="1" x14ac:dyDescent="0.25">
      <c r="B9" s="2950" t="s">
        <v>318</v>
      </c>
      <c r="C9" s="2951"/>
      <c r="D9" s="2951"/>
      <c r="E9" s="2951"/>
      <c r="F9" s="2951"/>
      <c r="G9" s="2951"/>
      <c r="H9" s="2951"/>
      <c r="I9" s="2951"/>
      <c r="J9" s="2951"/>
      <c r="K9" s="2951"/>
      <c r="L9" s="976" t="s">
        <v>257</v>
      </c>
      <c r="M9" s="2868" t="s">
        <v>232</v>
      </c>
      <c r="N9" s="2868"/>
      <c r="O9" s="2868"/>
      <c r="P9" s="2868"/>
      <c r="Q9" s="2868"/>
      <c r="R9" s="2868"/>
      <c r="S9" s="2868"/>
      <c r="T9" s="2868"/>
      <c r="U9" s="2868"/>
      <c r="V9" s="2869"/>
    </row>
    <row r="10" spans="2:24" ht="19" customHeight="1" x14ac:dyDescent="0.25">
      <c r="B10" s="2939" t="s">
        <v>317</v>
      </c>
      <c r="C10" s="2940"/>
      <c r="D10" s="2940"/>
      <c r="E10" s="2940"/>
      <c r="F10" s="2940"/>
      <c r="G10" s="2940"/>
      <c r="H10" s="2940"/>
      <c r="I10" s="2940"/>
      <c r="J10" s="2940"/>
      <c r="K10" s="2940"/>
      <c r="L10" s="344"/>
      <c r="M10" s="2868" t="str">
        <f>'PPID&amp;Propaganda'!M10</f>
        <v>Januari s/d Desember 2020</v>
      </c>
      <c r="N10" s="2868"/>
      <c r="O10" s="2868"/>
      <c r="P10" s="2868"/>
      <c r="Q10" s="2868"/>
      <c r="R10" s="2868"/>
      <c r="S10" s="2868"/>
      <c r="T10" s="2868"/>
      <c r="U10" s="2868"/>
      <c r="V10" s="2869"/>
    </row>
    <row r="11" spans="2:24" ht="19" customHeight="1" x14ac:dyDescent="0.25">
      <c r="B11" s="2939" t="s">
        <v>319</v>
      </c>
      <c r="C11" s="2940"/>
      <c r="D11" s="2940"/>
      <c r="E11" s="2940"/>
      <c r="F11" s="2940"/>
      <c r="G11" s="2940"/>
      <c r="H11" s="2940"/>
      <c r="I11" s="2940"/>
      <c r="J11" s="2940"/>
      <c r="K11" s="2940"/>
      <c r="L11" s="344"/>
      <c r="M11" s="2845" t="s">
        <v>90</v>
      </c>
      <c r="N11" s="2845"/>
      <c r="O11" s="2845"/>
      <c r="P11" s="2845"/>
      <c r="Q11" s="2845"/>
      <c r="R11" s="2845"/>
      <c r="S11" s="2845"/>
      <c r="T11" s="2845"/>
      <c r="U11" s="2845"/>
      <c r="V11" s="2846"/>
    </row>
    <row r="12" spans="2:24" ht="19" customHeight="1" x14ac:dyDescent="0.25">
      <c r="B12" s="2931" t="s">
        <v>320</v>
      </c>
      <c r="C12" s="2868"/>
      <c r="D12" s="2868"/>
      <c r="E12" s="2868"/>
      <c r="F12" s="2868"/>
      <c r="G12" s="2868"/>
      <c r="H12" s="2868"/>
      <c r="I12" s="2868"/>
      <c r="J12" s="2868"/>
      <c r="K12" s="2868"/>
      <c r="L12" s="2868"/>
      <c r="M12" s="2845" t="s">
        <v>322</v>
      </c>
      <c r="N12" s="2845"/>
      <c r="O12" s="2845"/>
      <c r="P12" s="2845"/>
      <c r="Q12" s="2845"/>
      <c r="R12" s="2845"/>
      <c r="S12" s="2845"/>
      <c r="T12" s="2845"/>
      <c r="U12" s="2845"/>
      <c r="V12" s="2846"/>
    </row>
    <row r="13" spans="2:24" ht="14.25" customHeight="1" x14ac:dyDescent="0.25">
      <c r="B13" s="2942" t="s">
        <v>280</v>
      </c>
      <c r="C13" s="2943"/>
      <c r="D13" s="2943"/>
      <c r="E13" s="2943"/>
      <c r="F13" s="2943"/>
      <c r="G13" s="2943"/>
      <c r="H13" s="2943"/>
      <c r="I13" s="2943"/>
      <c r="J13" s="2943"/>
      <c r="K13" s="2943"/>
      <c r="L13" s="2943"/>
      <c r="M13" s="2943"/>
      <c r="N13" s="2943"/>
      <c r="O13" s="2943"/>
      <c r="P13" s="2943"/>
      <c r="Q13" s="2943"/>
      <c r="R13" s="2943"/>
      <c r="S13" s="2943"/>
      <c r="T13" s="2943"/>
      <c r="U13" s="2943"/>
      <c r="V13" s="2944"/>
    </row>
    <row r="14" spans="2:24" ht="14.25" customHeight="1" x14ac:dyDescent="0.25">
      <c r="B14" s="2853" t="s">
        <v>13</v>
      </c>
      <c r="C14" s="2854"/>
      <c r="D14" s="2854"/>
      <c r="E14" s="2854"/>
      <c r="F14" s="2854"/>
      <c r="G14" s="2854"/>
      <c r="H14" s="2854"/>
      <c r="I14" s="2854"/>
      <c r="J14" s="2854"/>
      <c r="K14" s="2855"/>
      <c r="L14" s="2945" t="s">
        <v>133</v>
      </c>
      <c r="M14" s="2943"/>
      <c r="N14" s="2943"/>
      <c r="O14" s="2943"/>
      <c r="P14" s="2946"/>
      <c r="Q14" s="2747" t="s">
        <v>134</v>
      </c>
      <c r="R14" s="2747"/>
      <c r="S14" s="2747"/>
      <c r="T14" s="2747"/>
      <c r="U14" s="2747"/>
      <c r="V14" s="2947"/>
    </row>
    <row r="15" spans="2:24" ht="14.25" customHeight="1" x14ac:dyDescent="0.3">
      <c r="B15" s="2856"/>
      <c r="C15" s="2857"/>
      <c r="D15" s="2857"/>
      <c r="E15" s="2857"/>
      <c r="F15" s="2857"/>
      <c r="G15" s="2857"/>
      <c r="H15" s="2857"/>
      <c r="I15" s="2857"/>
      <c r="J15" s="2857"/>
      <c r="K15" s="2858"/>
      <c r="L15" s="1599" t="s">
        <v>270</v>
      </c>
      <c r="M15" s="2945" t="s">
        <v>281</v>
      </c>
      <c r="N15" s="2943"/>
      <c r="O15" s="2943"/>
      <c r="P15" s="2946"/>
      <c r="Q15" s="2747" t="s">
        <v>270</v>
      </c>
      <c r="R15" s="2747"/>
      <c r="S15" s="2747"/>
      <c r="T15" s="2747" t="s">
        <v>281</v>
      </c>
      <c r="U15" s="2747"/>
      <c r="V15" s="2947"/>
      <c r="W15" s="520"/>
    </row>
    <row r="16" spans="2:24" ht="27" customHeight="1" x14ac:dyDescent="0.25">
      <c r="B16" s="2834" t="s">
        <v>14</v>
      </c>
      <c r="C16" s="2835"/>
      <c r="D16" s="2835"/>
      <c r="E16" s="2835"/>
      <c r="F16" s="2835"/>
      <c r="G16" s="2835"/>
      <c r="H16" s="2835"/>
      <c r="I16" s="2835"/>
      <c r="J16" s="2835"/>
      <c r="K16" s="2836"/>
      <c r="L16" s="977" t="s">
        <v>228</v>
      </c>
      <c r="M16" s="2507" t="s">
        <v>518</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36"/>
      <c r="L17" s="1108" t="s">
        <v>430</v>
      </c>
      <c r="M17" s="2933" t="str">
        <f>L17</f>
        <v>Jumlah Dana Yang Dibutuhkan</v>
      </c>
      <c r="N17" s="2933"/>
      <c r="O17" s="2933"/>
      <c r="P17" s="2933"/>
      <c r="Q17" s="2934">
        <f>P29</f>
        <v>54211380</v>
      </c>
      <c r="R17" s="2935"/>
      <c r="S17" s="2936"/>
      <c r="T17" s="2937">
        <f>T29</f>
        <v>47211380</v>
      </c>
      <c r="U17" s="2937"/>
      <c r="V17" s="2938"/>
    </row>
    <row r="18" spans="2:22" ht="29.15" customHeight="1" x14ac:dyDescent="0.25">
      <c r="B18" s="2834" t="s">
        <v>136</v>
      </c>
      <c r="C18" s="2835"/>
      <c r="D18" s="2835"/>
      <c r="E18" s="2835"/>
      <c r="F18" s="2835"/>
      <c r="G18" s="2835"/>
      <c r="H18" s="2835"/>
      <c r="I18" s="2835"/>
      <c r="J18" s="2835"/>
      <c r="K18" s="2836"/>
      <c r="L18" s="977" t="s">
        <v>524</v>
      </c>
      <c r="M18" s="2875" t="s">
        <v>524</v>
      </c>
      <c r="N18" s="2875"/>
      <c r="O18" s="2875"/>
      <c r="P18" s="2875"/>
      <c r="Q18" s="2616" t="s">
        <v>523</v>
      </c>
      <c r="R18" s="2616"/>
      <c r="S18" s="2616"/>
      <c r="T18" s="2616" t="s">
        <v>523</v>
      </c>
      <c r="U18" s="2616"/>
      <c r="V18" s="2837"/>
    </row>
    <row r="19" spans="2:22" ht="14" x14ac:dyDescent="0.25">
      <c r="B19" s="2834" t="s">
        <v>137</v>
      </c>
      <c r="C19" s="2835"/>
      <c r="D19" s="2835"/>
      <c r="E19" s="2835"/>
      <c r="F19" s="2835"/>
      <c r="G19" s="2835"/>
      <c r="H19" s="2835"/>
      <c r="I19" s="2835"/>
      <c r="J19" s="2835"/>
      <c r="K19" s="2836"/>
      <c r="L19" s="977" t="s">
        <v>521</v>
      </c>
      <c r="M19" s="2875" t="s">
        <v>521</v>
      </c>
      <c r="N19" s="2875"/>
      <c r="O19" s="2875"/>
      <c r="P19" s="2875"/>
      <c r="Q19" s="2830">
        <v>0.65</v>
      </c>
      <c r="R19" s="2616"/>
      <c r="S19" s="2616"/>
      <c r="T19" s="2830">
        <v>0.65</v>
      </c>
      <c r="U19" s="2616"/>
      <c r="V19" s="2837"/>
    </row>
    <row r="20" spans="2:22" ht="14.25" customHeight="1" x14ac:dyDescent="0.25">
      <c r="B20" s="2931" t="s">
        <v>182</v>
      </c>
      <c r="C20" s="2868"/>
      <c r="D20" s="2868"/>
      <c r="E20" s="2868"/>
      <c r="F20" s="2868"/>
      <c r="G20" s="2868"/>
      <c r="H20" s="2868"/>
      <c r="I20" s="2868"/>
      <c r="J20" s="2868"/>
      <c r="K20" s="2868"/>
      <c r="L20" s="2868"/>
      <c r="M20" s="2868"/>
      <c r="N20" s="2868"/>
      <c r="O20" s="2868"/>
      <c r="P20" s="2868"/>
      <c r="Q20" s="2868"/>
      <c r="R20" s="2868"/>
      <c r="S20" s="2868"/>
      <c r="T20" s="2868"/>
      <c r="U20" s="2868"/>
      <c r="V20" s="2869"/>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25">
      <c r="B22" s="2678" t="s">
        <v>12</v>
      </c>
      <c r="C22" s="2679"/>
      <c r="D22" s="2679"/>
      <c r="E22" s="2679"/>
      <c r="F22" s="2679"/>
      <c r="G22" s="2679"/>
      <c r="H22" s="2679"/>
      <c r="I22" s="2679"/>
      <c r="J22" s="2679"/>
      <c r="K22" s="2680"/>
      <c r="L22" s="2648" t="s">
        <v>121</v>
      </c>
      <c r="M22" s="2924" t="s">
        <v>270</v>
      </c>
      <c r="N22" s="2857"/>
      <c r="O22" s="2857"/>
      <c r="P22" s="2857"/>
      <c r="Q22" s="2925" t="s">
        <v>269</v>
      </c>
      <c r="R22" s="2926"/>
      <c r="S22" s="2926"/>
      <c r="T22" s="2926"/>
      <c r="U22" s="2927" t="s">
        <v>272</v>
      </c>
      <c r="V22" s="2928"/>
    </row>
    <row r="23" spans="2:22" ht="12.75" customHeight="1" x14ac:dyDescent="0.25">
      <c r="B23" s="2681"/>
      <c r="C23" s="2595"/>
      <c r="D23" s="2595"/>
      <c r="E23" s="2595"/>
      <c r="F23" s="2595"/>
      <c r="G23" s="2595"/>
      <c r="H23" s="2595"/>
      <c r="I23" s="2595"/>
      <c r="J23" s="2595"/>
      <c r="K23" s="2596"/>
      <c r="L23" s="2648"/>
      <c r="M23" s="2649" t="s">
        <v>125</v>
      </c>
      <c r="N23" s="2598"/>
      <c r="O23" s="2599"/>
      <c r="P23" s="1583"/>
      <c r="Q23" s="2692" t="s">
        <v>125</v>
      </c>
      <c r="R23" s="2929"/>
      <c r="S23" s="2930"/>
      <c r="T23" s="978"/>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584" t="s">
        <v>122</v>
      </c>
      <c r="Q24" s="2690" t="s">
        <v>127</v>
      </c>
      <c r="R24" s="2693" t="s">
        <v>8</v>
      </c>
      <c r="S24" s="2693" t="s">
        <v>129</v>
      </c>
      <c r="T24" s="97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584" t="s">
        <v>123</v>
      </c>
      <c r="Q25" s="2691"/>
      <c r="R25" s="2694"/>
      <c r="S25" s="2694"/>
      <c r="T25" s="97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1582"/>
      <c r="Q26" s="2692"/>
      <c r="R26" s="2695"/>
      <c r="S26" s="2695"/>
      <c r="T26" s="980"/>
      <c r="U26" s="2600"/>
      <c r="V26" s="2646"/>
    </row>
    <row r="27" spans="2:22" ht="13" thickBot="1" x14ac:dyDescent="0.3">
      <c r="B27" s="2910">
        <v>1</v>
      </c>
      <c r="C27" s="2911"/>
      <c r="D27" s="2911"/>
      <c r="E27" s="2911"/>
      <c r="F27" s="2911"/>
      <c r="G27" s="2911"/>
      <c r="H27" s="2911"/>
      <c r="I27" s="2911"/>
      <c r="J27" s="2911"/>
      <c r="K27" s="2912"/>
      <c r="L27" s="981">
        <v>2</v>
      </c>
      <c r="M27" s="981">
        <v>3</v>
      </c>
      <c r="N27" s="981">
        <v>4</v>
      </c>
      <c r="O27" s="982">
        <v>5</v>
      </c>
      <c r="P27" s="1604" t="s">
        <v>7</v>
      </c>
      <c r="Q27" s="984">
        <v>7</v>
      </c>
      <c r="R27" s="984">
        <v>8</v>
      </c>
      <c r="S27" s="985">
        <v>9</v>
      </c>
      <c r="T27" s="986" t="s">
        <v>275</v>
      </c>
      <c r="U27" s="1590" t="s">
        <v>274</v>
      </c>
      <c r="V27" s="1109">
        <v>12</v>
      </c>
    </row>
    <row r="28" spans="2:22" ht="13" thickTop="1" x14ac:dyDescent="0.25">
      <c r="B28" s="486">
        <v>1</v>
      </c>
      <c r="C28" s="487" t="s">
        <v>239</v>
      </c>
      <c r="D28" s="487" t="s">
        <v>84</v>
      </c>
      <c r="E28" s="1674"/>
      <c r="F28" s="489"/>
      <c r="G28" s="473">
        <v>5</v>
      </c>
      <c r="H28" s="473">
        <v>2</v>
      </c>
      <c r="I28" s="489"/>
      <c r="J28" s="2338"/>
      <c r="K28" s="2338"/>
      <c r="L28" s="490" t="s">
        <v>54</v>
      </c>
      <c r="M28" s="2431"/>
      <c r="N28" s="491"/>
      <c r="O28" s="492"/>
      <c r="P28" s="547">
        <f>P29</f>
        <v>54211380</v>
      </c>
      <c r="Q28" s="2449"/>
      <c r="R28" s="873"/>
      <c r="S28" s="874"/>
      <c r="T28" s="875">
        <f>T29</f>
        <v>47211380</v>
      </c>
      <c r="U28" s="882">
        <f>SUM(T28)-P28</f>
        <v>-7000000</v>
      </c>
      <c r="V28" s="425"/>
    </row>
    <row r="29" spans="2:22" x14ac:dyDescent="0.25">
      <c r="B29" s="486">
        <v>1</v>
      </c>
      <c r="C29" s="487" t="s">
        <v>239</v>
      </c>
      <c r="D29" s="487" t="s">
        <v>84</v>
      </c>
      <c r="E29" s="1650">
        <v>18</v>
      </c>
      <c r="F29" s="487"/>
      <c r="G29" s="473"/>
      <c r="H29" s="473"/>
      <c r="I29" s="489"/>
      <c r="J29" s="2338"/>
      <c r="K29" s="2338"/>
      <c r="L29" s="2432" t="s">
        <v>468</v>
      </c>
      <c r="M29" s="495"/>
      <c r="N29" s="491"/>
      <c r="O29" s="492"/>
      <c r="P29" s="547">
        <f>P30</f>
        <v>54211380</v>
      </c>
      <c r="Q29" s="2450"/>
      <c r="R29" s="824"/>
      <c r="S29" s="825"/>
      <c r="T29" s="876">
        <f>T30</f>
        <v>47211380</v>
      </c>
      <c r="U29" s="675"/>
      <c r="V29" s="761"/>
    </row>
    <row r="30" spans="2:22" ht="26" customHeight="1" x14ac:dyDescent="0.25">
      <c r="B30" s="654">
        <v>1</v>
      </c>
      <c r="C30" s="564" t="s">
        <v>239</v>
      </c>
      <c r="D30" s="564" t="s">
        <v>84</v>
      </c>
      <c r="E30" s="826">
        <v>18</v>
      </c>
      <c r="F30" s="826" t="s">
        <v>97</v>
      </c>
      <c r="G30" s="474"/>
      <c r="H30" s="474"/>
      <c r="I30" s="566"/>
      <c r="J30" s="1050"/>
      <c r="K30" s="1070"/>
      <c r="L30" s="1071" t="s">
        <v>474</v>
      </c>
      <c r="M30" s="1051"/>
      <c r="N30" s="1680"/>
      <c r="O30" s="1680"/>
      <c r="P30" s="868">
        <f>P32+P49</f>
        <v>54211380</v>
      </c>
      <c r="Q30" s="2451"/>
      <c r="R30" s="1072"/>
      <c r="S30" s="1072"/>
      <c r="T30" s="876">
        <f>T32+T49</f>
        <v>47211380</v>
      </c>
      <c r="U30" s="756">
        <f>SUM(T30)-P30</f>
        <v>-7000000</v>
      </c>
      <c r="V30" s="761"/>
    </row>
    <row r="31" spans="2:22" x14ac:dyDescent="0.25">
      <c r="B31" s="486"/>
      <c r="C31" s="487"/>
      <c r="D31" s="487"/>
      <c r="E31" s="1650"/>
      <c r="F31" s="487"/>
      <c r="G31" s="473"/>
      <c r="H31" s="473"/>
      <c r="I31" s="489"/>
      <c r="J31" s="2338"/>
      <c r="K31" s="2339"/>
      <c r="L31" s="1971"/>
      <c r="M31" s="829"/>
      <c r="N31" s="1967"/>
      <c r="O31" s="1968"/>
      <c r="P31" s="547"/>
      <c r="Q31" s="2476"/>
      <c r="R31" s="883"/>
      <c r="S31" s="884"/>
      <c r="T31" s="876"/>
      <c r="U31" s="675"/>
      <c r="V31" s="761"/>
    </row>
    <row r="32" spans="2:22" x14ac:dyDescent="0.25">
      <c r="B32" s="486">
        <v>1</v>
      </c>
      <c r="C32" s="487" t="s">
        <v>239</v>
      </c>
      <c r="D32" s="487" t="s">
        <v>84</v>
      </c>
      <c r="E32" s="1650">
        <v>18</v>
      </c>
      <c r="F32" s="826" t="s">
        <v>97</v>
      </c>
      <c r="G32" s="473">
        <v>5</v>
      </c>
      <c r="H32" s="473">
        <v>2</v>
      </c>
      <c r="I32" s="489">
        <v>1</v>
      </c>
      <c r="J32" s="2338"/>
      <c r="K32" s="2338"/>
      <c r="L32" s="1675" t="s">
        <v>39</v>
      </c>
      <c r="M32" s="1073"/>
      <c r="N32" s="499"/>
      <c r="O32" s="500"/>
      <c r="P32" s="547">
        <f>P33+P37</f>
        <v>13300000</v>
      </c>
      <c r="Q32" s="2477"/>
      <c r="R32" s="892"/>
      <c r="S32" s="887"/>
      <c r="T32" s="876">
        <f>T33+T37</f>
        <v>7600000</v>
      </c>
      <c r="U32" s="756">
        <f>SUM(T32)-P32</f>
        <v>-5700000</v>
      </c>
      <c r="V32" s="761"/>
    </row>
    <row r="33" spans="2:22" x14ac:dyDescent="0.25">
      <c r="B33" s="1730">
        <v>1</v>
      </c>
      <c r="C33" s="1722" t="s">
        <v>239</v>
      </c>
      <c r="D33" s="1722" t="s">
        <v>84</v>
      </c>
      <c r="E33" s="1797">
        <v>18</v>
      </c>
      <c r="F33" s="826" t="s">
        <v>97</v>
      </c>
      <c r="G33" s="1716">
        <v>5</v>
      </c>
      <c r="H33" s="1716">
        <v>2</v>
      </c>
      <c r="I33" s="1717">
        <v>1</v>
      </c>
      <c r="J33" s="1722" t="s">
        <v>84</v>
      </c>
      <c r="K33" s="1717"/>
      <c r="L33" s="1723" t="s">
        <v>96</v>
      </c>
      <c r="M33" s="602"/>
      <c r="N33" s="1724"/>
      <c r="O33" s="1725"/>
      <c r="P33" s="1858">
        <f>P34</f>
        <v>2000000</v>
      </c>
      <c r="Q33" s="800"/>
      <c r="R33" s="959"/>
      <c r="S33" s="1077"/>
      <c r="T33" s="1188">
        <f>T34</f>
        <v>1500000</v>
      </c>
      <c r="U33" s="756">
        <f>SUM(T33)-P33</f>
        <v>-500000</v>
      </c>
      <c r="V33" s="761"/>
    </row>
    <row r="34" spans="2:22" x14ac:dyDescent="0.25">
      <c r="B34" s="1730">
        <v>1</v>
      </c>
      <c r="C34" s="1722" t="s">
        <v>239</v>
      </c>
      <c r="D34" s="1722" t="s">
        <v>84</v>
      </c>
      <c r="E34" s="1797">
        <v>18</v>
      </c>
      <c r="F34" s="826" t="s">
        <v>97</v>
      </c>
      <c r="G34" s="1716">
        <v>5</v>
      </c>
      <c r="H34" s="1716">
        <v>2</v>
      </c>
      <c r="I34" s="1717">
        <v>1</v>
      </c>
      <c r="J34" s="1722" t="s">
        <v>84</v>
      </c>
      <c r="K34" s="1722" t="s">
        <v>84</v>
      </c>
      <c r="L34" s="1893" t="s">
        <v>85</v>
      </c>
      <c r="M34" s="603"/>
      <c r="N34" s="1727"/>
      <c r="O34" s="1728"/>
      <c r="P34" s="1862">
        <f>SUM(P35:P35)</f>
        <v>2000000</v>
      </c>
      <c r="Q34" s="801"/>
      <c r="R34" s="1078"/>
      <c r="S34" s="960"/>
      <c r="T34" s="1190">
        <f>SUM(T35:T35)</f>
        <v>1500000</v>
      </c>
      <c r="U34" s="756">
        <f>SUM(T34)-P34</f>
        <v>-500000</v>
      </c>
      <c r="V34" s="439">
        <f>U34/P34*100</f>
        <v>-25</v>
      </c>
    </row>
    <row r="35" spans="2:22" ht="37.5" x14ac:dyDescent="0.25">
      <c r="B35" s="797"/>
      <c r="C35" s="1074"/>
      <c r="D35" s="1074"/>
      <c r="E35" s="1079"/>
      <c r="F35" s="1074"/>
      <c r="G35" s="1075"/>
      <c r="H35" s="1075"/>
      <c r="I35" s="1080"/>
      <c r="J35" s="1081"/>
      <c r="K35" s="1074"/>
      <c r="L35" s="962" t="s">
        <v>803</v>
      </c>
      <c r="M35" s="603">
        <v>8</v>
      </c>
      <c r="N35" s="1078" t="s">
        <v>52</v>
      </c>
      <c r="O35" s="606">
        <v>250000</v>
      </c>
      <c r="P35" s="1187">
        <f>O35*M35</f>
        <v>2000000</v>
      </c>
      <c r="Q35" s="801">
        <v>6</v>
      </c>
      <c r="R35" s="1078" t="s">
        <v>52</v>
      </c>
      <c r="S35" s="606">
        <v>250000</v>
      </c>
      <c r="T35" s="1190">
        <f>S35*Q35</f>
        <v>1500000</v>
      </c>
      <c r="U35" s="756">
        <f>SUM(T35)-P35</f>
        <v>-500000</v>
      </c>
      <c r="V35" s="761"/>
    </row>
    <row r="36" spans="2:22" x14ac:dyDescent="0.25">
      <c r="B36" s="486"/>
      <c r="C36" s="487"/>
      <c r="D36" s="487"/>
      <c r="E36" s="1650"/>
      <c r="F36" s="1650"/>
      <c r="G36" s="473"/>
      <c r="H36" s="473"/>
      <c r="I36" s="489"/>
      <c r="J36" s="2338"/>
      <c r="K36" s="2338"/>
      <c r="L36" s="2346"/>
      <c r="M36" s="1073"/>
      <c r="N36" s="499"/>
      <c r="O36" s="500"/>
      <c r="P36" s="547"/>
      <c r="Q36" s="2477"/>
      <c r="R36" s="892"/>
      <c r="S36" s="887"/>
      <c r="T36" s="876"/>
      <c r="U36" s="756"/>
      <c r="V36" s="761"/>
    </row>
    <row r="37" spans="2:22" x14ac:dyDescent="0.25">
      <c r="B37" s="486">
        <v>1</v>
      </c>
      <c r="C37" s="487" t="s">
        <v>239</v>
      </c>
      <c r="D37" s="487" t="s">
        <v>84</v>
      </c>
      <c r="E37" s="1650">
        <v>18</v>
      </c>
      <c r="F37" s="826" t="s">
        <v>97</v>
      </c>
      <c r="G37" s="473">
        <v>5</v>
      </c>
      <c r="H37" s="473">
        <v>2</v>
      </c>
      <c r="I37" s="489">
        <v>1</v>
      </c>
      <c r="J37" s="487" t="s">
        <v>87</v>
      </c>
      <c r="K37" s="489"/>
      <c r="L37" s="1758" t="s">
        <v>107</v>
      </c>
      <c r="M37" s="1073"/>
      <c r="N37" s="1684"/>
      <c r="O37" s="1685"/>
      <c r="P37" s="547">
        <f>P38</f>
        <v>11300000</v>
      </c>
      <c r="Q37" s="2477"/>
      <c r="R37" s="991"/>
      <c r="S37" s="992"/>
      <c r="T37" s="876">
        <f>T38</f>
        <v>6100000</v>
      </c>
      <c r="U37" s="756">
        <f>SUM(T37)-P37</f>
        <v>-5200000</v>
      </c>
      <c r="V37" s="761"/>
    </row>
    <row r="38" spans="2:22" x14ac:dyDescent="0.25">
      <c r="B38" s="486">
        <v>1</v>
      </c>
      <c r="C38" s="487" t="s">
        <v>239</v>
      </c>
      <c r="D38" s="487" t="s">
        <v>84</v>
      </c>
      <c r="E38" s="1650">
        <v>18</v>
      </c>
      <c r="F38" s="826" t="s">
        <v>97</v>
      </c>
      <c r="G38" s="473">
        <v>5</v>
      </c>
      <c r="H38" s="473">
        <v>2</v>
      </c>
      <c r="I38" s="489">
        <v>1</v>
      </c>
      <c r="J38" s="487" t="s">
        <v>87</v>
      </c>
      <c r="K38" s="487" t="s">
        <v>97</v>
      </c>
      <c r="L38" s="2462" t="s">
        <v>175</v>
      </c>
      <c r="M38" s="602"/>
      <c r="N38" s="2125"/>
      <c r="O38" s="2463"/>
      <c r="P38" s="2166">
        <f>SUM(P39:P47)</f>
        <v>11300000</v>
      </c>
      <c r="Q38" s="800"/>
      <c r="R38" s="1083"/>
      <c r="S38" s="1084"/>
      <c r="T38" s="1210">
        <f>SUM(T39:T48)</f>
        <v>6100000</v>
      </c>
      <c r="U38" s="756">
        <f t="shared" ref="U38:U42" si="0">SUM(T38)-P38</f>
        <v>-5200000</v>
      </c>
      <c r="V38" s="439">
        <f>U38/P38*100</f>
        <v>-46.017699115044245</v>
      </c>
    </row>
    <row r="39" spans="2:22" x14ac:dyDescent="0.25">
      <c r="B39" s="486"/>
      <c r="C39" s="487"/>
      <c r="D39" s="487"/>
      <c r="E39" s="1932"/>
      <c r="F39" s="826"/>
      <c r="G39" s="489"/>
      <c r="H39" s="489"/>
      <c r="I39" s="116"/>
      <c r="J39" s="6"/>
      <c r="K39" s="487"/>
      <c r="L39" s="2234" t="s">
        <v>804</v>
      </c>
      <c r="M39" s="603">
        <f>1*1</f>
        <v>1</v>
      </c>
      <c r="N39" s="1982" t="s">
        <v>189</v>
      </c>
      <c r="O39" s="1983">
        <v>300000</v>
      </c>
      <c r="P39" s="1689">
        <f t="shared" ref="P39:P45" si="1">O39*M39</f>
        <v>300000</v>
      </c>
      <c r="Q39" s="801"/>
      <c r="R39" s="886"/>
      <c r="S39" s="1086"/>
      <c r="T39" s="905"/>
      <c r="U39" s="756">
        <f t="shared" si="0"/>
        <v>-300000</v>
      </c>
      <c r="V39" s="439"/>
    </row>
    <row r="40" spans="2:22" x14ac:dyDescent="0.25">
      <c r="B40" s="486"/>
      <c r="C40" s="487"/>
      <c r="D40" s="487"/>
      <c r="E40" s="1932"/>
      <c r="F40" s="487"/>
      <c r="G40" s="489"/>
      <c r="H40" s="489"/>
      <c r="I40" s="116"/>
      <c r="J40" s="6"/>
      <c r="K40" s="487"/>
      <c r="L40" s="2444" t="s">
        <v>805</v>
      </c>
      <c r="M40" s="603">
        <f t="shared" ref="M40:M41" si="2">1*1</f>
        <v>1</v>
      </c>
      <c r="N40" s="1982" t="s">
        <v>189</v>
      </c>
      <c r="O40" s="1983">
        <v>300000</v>
      </c>
      <c r="P40" s="1689">
        <f t="shared" si="1"/>
        <v>300000</v>
      </c>
      <c r="Q40" s="801"/>
      <c r="R40" s="886"/>
      <c r="S40" s="1086"/>
      <c r="T40" s="905"/>
      <c r="U40" s="756">
        <f t="shared" si="0"/>
        <v>-300000</v>
      </c>
      <c r="V40" s="439">
        <f>U40/P40*100</f>
        <v>-100</v>
      </c>
    </row>
    <row r="41" spans="2:22" x14ac:dyDescent="0.25">
      <c r="B41" s="486"/>
      <c r="C41" s="487"/>
      <c r="D41" s="487"/>
      <c r="E41" s="1650"/>
      <c r="F41" s="1650"/>
      <c r="G41" s="473"/>
      <c r="H41" s="473"/>
      <c r="I41" s="489"/>
      <c r="J41" s="487"/>
      <c r="K41" s="489"/>
      <c r="L41" s="2436" t="s">
        <v>806</v>
      </c>
      <c r="M41" s="603">
        <f t="shared" si="2"/>
        <v>1</v>
      </c>
      <c r="N41" s="1982" t="s">
        <v>189</v>
      </c>
      <c r="O41" s="1983">
        <v>300000</v>
      </c>
      <c r="P41" s="1689">
        <f t="shared" si="1"/>
        <v>300000</v>
      </c>
      <c r="Q41" s="801"/>
      <c r="R41" s="886"/>
      <c r="S41" s="1086"/>
      <c r="T41" s="905"/>
      <c r="U41" s="756">
        <f t="shared" si="0"/>
        <v>-300000</v>
      </c>
      <c r="V41" s="761"/>
    </row>
    <row r="42" spans="2:22" x14ac:dyDescent="0.25">
      <c r="B42" s="486"/>
      <c r="C42" s="487"/>
      <c r="D42" s="487"/>
      <c r="E42" s="1932"/>
      <c r="F42" s="1932"/>
      <c r="G42" s="489"/>
      <c r="H42" s="489"/>
      <c r="I42" s="116"/>
      <c r="J42" s="6"/>
      <c r="K42" s="487"/>
      <c r="L42" s="2436" t="s">
        <v>807</v>
      </c>
      <c r="M42" s="603">
        <v>2</v>
      </c>
      <c r="N42" s="1982" t="s">
        <v>189</v>
      </c>
      <c r="O42" s="1983">
        <v>300000</v>
      </c>
      <c r="P42" s="1689">
        <f t="shared" si="1"/>
        <v>600000</v>
      </c>
      <c r="Q42" s="801"/>
      <c r="R42" s="886"/>
      <c r="S42" s="1086"/>
      <c r="T42" s="905"/>
      <c r="U42" s="756">
        <f t="shared" si="0"/>
        <v>-600000</v>
      </c>
      <c r="V42" s="761"/>
    </row>
    <row r="43" spans="2:22" ht="13" customHeight="1" x14ac:dyDescent="0.25">
      <c r="B43" s="486"/>
      <c r="C43" s="487"/>
      <c r="D43" s="487"/>
      <c r="E43" s="1932"/>
      <c r="F43" s="487"/>
      <c r="G43" s="489"/>
      <c r="H43" s="489"/>
      <c r="I43" s="116"/>
      <c r="J43" s="6"/>
      <c r="K43" s="487"/>
      <c r="L43" s="2436" t="s">
        <v>808</v>
      </c>
      <c r="M43" s="603">
        <v>3</v>
      </c>
      <c r="N43" s="1982" t="s">
        <v>189</v>
      </c>
      <c r="O43" s="1983">
        <v>300000</v>
      </c>
      <c r="P43" s="1689">
        <f t="shared" si="1"/>
        <v>900000</v>
      </c>
      <c r="Q43" s="801">
        <v>1</v>
      </c>
      <c r="R43" s="886" t="s">
        <v>189</v>
      </c>
      <c r="S43" s="1086">
        <v>300000</v>
      </c>
      <c r="T43" s="905">
        <f t="shared" ref="T43:T44" si="3">S43*Q43</f>
        <v>300000</v>
      </c>
      <c r="U43" s="756">
        <f t="shared" ref="U43" si="4">SUM(T43)-P43</f>
        <v>-600000</v>
      </c>
      <c r="V43" s="761"/>
    </row>
    <row r="44" spans="2:22" ht="25" x14ac:dyDescent="0.25">
      <c r="B44" s="486"/>
      <c r="C44" s="487"/>
      <c r="D44" s="487"/>
      <c r="E44" s="1932"/>
      <c r="F44" s="487"/>
      <c r="G44" s="489"/>
      <c r="H44" s="489"/>
      <c r="I44" s="116"/>
      <c r="J44" s="6"/>
      <c r="K44" s="487"/>
      <c r="L44" s="2234" t="s">
        <v>809</v>
      </c>
      <c r="M44" s="603">
        <v>6</v>
      </c>
      <c r="N44" s="886" t="s">
        <v>189</v>
      </c>
      <c r="O44" s="1086">
        <v>100000</v>
      </c>
      <c r="P44" s="904">
        <f t="shared" si="1"/>
        <v>600000</v>
      </c>
      <c r="Q44" s="801">
        <v>4</v>
      </c>
      <c r="R44" s="886" t="s">
        <v>189</v>
      </c>
      <c r="S44" s="1086">
        <v>100000</v>
      </c>
      <c r="T44" s="905">
        <f t="shared" si="3"/>
        <v>400000</v>
      </c>
      <c r="U44" s="756">
        <f t="shared" ref="U44" si="5">SUM(T44)-P44</f>
        <v>-200000</v>
      </c>
      <c r="V44" s="761"/>
    </row>
    <row r="45" spans="2:22" x14ac:dyDescent="0.25">
      <c r="B45" s="486"/>
      <c r="C45" s="487"/>
      <c r="D45" s="487"/>
      <c r="E45" s="1932"/>
      <c r="F45" s="487"/>
      <c r="G45" s="489"/>
      <c r="H45" s="489"/>
      <c r="I45" s="116"/>
      <c r="J45" s="6"/>
      <c r="K45" s="487"/>
      <c r="L45" s="2003" t="s">
        <v>810</v>
      </c>
      <c r="M45" s="603">
        <v>2</v>
      </c>
      <c r="N45" s="1982" t="s">
        <v>189</v>
      </c>
      <c r="O45" s="2237">
        <v>100000</v>
      </c>
      <c r="P45" s="551">
        <f t="shared" si="1"/>
        <v>200000</v>
      </c>
      <c r="Q45" s="801"/>
      <c r="R45" s="886"/>
      <c r="S45" s="1086"/>
      <c r="T45" s="905"/>
      <c r="U45" s="756"/>
      <c r="V45" s="761"/>
    </row>
    <row r="46" spans="2:22" ht="25" x14ac:dyDescent="0.25">
      <c r="B46" s="486"/>
      <c r="C46" s="487"/>
      <c r="D46" s="487"/>
      <c r="E46" s="1932"/>
      <c r="F46" s="487"/>
      <c r="G46" s="489"/>
      <c r="H46" s="489"/>
      <c r="I46" s="116"/>
      <c r="J46" s="6"/>
      <c r="K46" s="487"/>
      <c r="L46" s="1089" t="s">
        <v>811</v>
      </c>
      <c r="M46" s="1090">
        <f>6*2*9</f>
        <v>108</v>
      </c>
      <c r="N46" s="1091" t="s">
        <v>189</v>
      </c>
      <c r="O46" s="1092">
        <v>50000</v>
      </c>
      <c r="P46" s="904">
        <f>O46*M46</f>
        <v>5400000</v>
      </c>
      <c r="Q46" s="2478">
        <f>6*2*9</f>
        <v>108</v>
      </c>
      <c r="R46" s="1091" t="s">
        <v>189</v>
      </c>
      <c r="S46" s="1092">
        <v>50000</v>
      </c>
      <c r="T46" s="905">
        <f>S46*Q46</f>
        <v>5400000</v>
      </c>
      <c r="U46" s="756">
        <f t="shared" ref="U46" si="6">SUM(T46)-P46</f>
        <v>0</v>
      </c>
      <c r="V46" s="761"/>
    </row>
    <row r="47" spans="2:22" ht="14" customHeight="1" x14ac:dyDescent="0.25">
      <c r="B47" s="486"/>
      <c r="C47" s="487"/>
      <c r="D47" s="487"/>
      <c r="E47" s="1932"/>
      <c r="F47" s="487"/>
      <c r="G47" s="489"/>
      <c r="H47" s="489"/>
      <c r="I47" s="116"/>
      <c r="J47" s="6"/>
      <c r="K47" s="487"/>
      <c r="L47" s="2444" t="s">
        <v>812</v>
      </c>
      <c r="M47" s="603">
        <f>2*27</f>
        <v>54</v>
      </c>
      <c r="N47" s="1982" t="s">
        <v>189</v>
      </c>
      <c r="O47" s="2014">
        <v>50000</v>
      </c>
      <c r="P47" s="1689">
        <f>O47*M47</f>
        <v>2700000</v>
      </c>
      <c r="Q47" s="2478"/>
      <c r="R47" s="1091"/>
      <c r="S47" s="1092"/>
      <c r="T47" s="905"/>
      <c r="U47" s="756"/>
      <c r="V47" s="761"/>
    </row>
    <row r="48" spans="2:22" x14ac:dyDescent="0.25">
      <c r="B48" s="486"/>
      <c r="C48" s="487"/>
      <c r="D48" s="487"/>
      <c r="E48" s="1932"/>
      <c r="F48" s="487"/>
      <c r="G48" s="489"/>
      <c r="H48" s="489"/>
      <c r="I48" s="116"/>
      <c r="J48" s="6"/>
      <c r="K48" s="487"/>
      <c r="L48" s="1999"/>
      <c r="M48" s="847"/>
      <c r="N48" s="1326"/>
      <c r="O48" s="505"/>
      <c r="P48" s="551"/>
      <c r="Q48" s="2478"/>
      <c r="R48" s="1091"/>
      <c r="S48" s="1092"/>
      <c r="T48" s="905"/>
      <c r="U48" s="756"/>
      <c r="V48" s="761"/>
    </row>
    <row r="49" spans="2:22" x14ac:dyDescent="0.25">
      <c r="B49" s="486">
        <v>1</v>
      </c>
      <c r="C49" s="487" t="s">
        <v>239</v>
      </c>
      <c r="D49" s="487" t="s">
        <v>84</v>
      </c>
      <c r="E49" s="1650">
        <v>18</v>
      </c>
      <c r="F49" s="826" t="s">
        <v>97</v>
      </c>
      <c r="G49" s="473">
        <v>5</v>
      </c>
      <c r="H49" s="473">
        <v>2</v>
      </c>
      <c r="I49" s="489">
        <v>2</v>
      </c>
      <c r="J49" s="489"/>
      <c r="K49" s="489"/>
      <c r="L49" s="2348" t="s">
        <v>64</v>
      </c>
      <c r="M49" s="850"/>
      <c r="N49" s="1326"/>
      <c r="O49" s="1917"/>
      <c r="P49" s="2031">
        <f>P50+P75+P89+P100+P109</f>
        <v>40911380</v>
      </c>
      <c r="Q49" s="810"/>
      <c r="R49" s="863"/>
      <c r="S49" s="851"/>
      <c r="T49" s="878">
        <f>T50+T75+T89+T100+T109</f>
        <v>39611380</v>
      </c>
      <c r="U49" s="756">
        <f t="shared" ref="U49:U66" si="7">SUM(T49)-P49</f>
        <v>-1300000</v>
      </c>
      <c r="V49" s="761"/>
    </row>
    <row r="50" spans="2:22" x14ac:dyDescent="0.25">
      <c r="B50" s="486">
        <v>1</v>
      </c>
      <c r="C50" s="487" t="s">
        <v>239</v>
      </c>
      <c r="D50" s="487" t="s">
        <v>84</v>
      </c>
      <c r="E50" s="1650">
        <v>18</v>
      </c>
      <c r="F50" s="826" t="s">
        <v>97</v>
      </c>
      <c r="G50" s="473">
        <v>5</v>
      </c>
      <c r="H50" s="473">
        <v>2</v>
      </c>
      <c r="I50" s="473">
        <v>2</v>
      </c>
      <c r="J50" s="487" t="s">
        <v>84</v>
      </c>
      <c r="K50" s="489"/>
      <c r="L50" s="1913" t="s">
        <v>55</v>
      </c>
      <c r="M50" s="850"/>
      <c r="N50" s="2438"/>
      <c r="O50" s="1914"/>
      <c r="P50" s="2031">
        <f>P51+P69</f>
        <v>13908555</v>
      </c>
      <c r="Q50" s="810"/>
      <c r="R50" s="1093"/>
      <c r="S50" s="853"/>
      <c r="T50" s="878">
        <f>T51</f>
        <v>6351380</v>
      </c>
      <c r="U50" s="756">
        <f t="shared" si="7"/>
        <v>-7557175</v>
      </c>
      <c r="V50" s="761"/>
    </row>
    <row r="51" spans="2:22" x14ac:dyDescent="0.25">
      <c r="B51" s="486">
        <v>1</v>
      </c>
      <c r="C51" s="487" t="s">
        <v>239</v>
      </c>
      <c r="D51" s="487" t="s">
        <v>84</v>
      </c>
      <c r="E51" s="1650">
        <v>18</v>
      </c>
      <c r="F51" s="826" t="s">
        <v>97</v>
      </c>
      <c r="G51" s="473">
        <v>5</v>
      </c>
      <c r="H51" s="473">
        <v>2</v>
      </c>
      <c r="I51" s="473">
        <v>2</v>
      </c>
      <c r="J51" s="487" t="s">
        <v>84</v>
      </c>
      <c r="K51" s="487" t="s">
        <v>84</v>
      </c>
      <c r="L51" s="2464" t="s">
        <v>813</v>
      </c>
      <c r="M51" s="1094"/>
      <c r="N51" s="2125"/>
      <c r="O51" s="2443"/>
      <c r="P51" s="2166">
        <f>SUM(P52:P67)</f>
        <v>6908555</v>
      </c>
      <c r="Q51" s="806"/>
      <c r="R51" s="1083"/>
      <c r="S51" s="1095"/>
      <c r="T51" s="1210">
        <f>SUM(T52:T66)</f>
        <v>6351380</v>
      </c>
      <c r="U51" s="756">
        <f t="shared" si="7"/>
        <v>-557175</v>
      </c>
      <c r="V51" s="761"/>
    </row>
    <row r="52" spans="2:22" x14ac:dyDescent="0.25">
      <c r="B52" s="486"/>
      <c r="C52" s="487"/>
      <c r="D52" s="487"/>
      <c r="E52" s="1932"/>
      <c r="F52" s="1650"/>
      <c r="G52" s="489"/>
      <c r="H52" s="489"/>
      <c r="I52" s="489"/>
      <c r="J52" s="487"/>
      <c r="K52" s="487"/>
      <c r="L52" s="2012" t="s">
        <v>734</v>
      </c>
      <c r="M52" s="859">
        <v>1</v>
      </c>
      <c r="N52" s="499" t="s">
        <v>59</v>
      </c>
      <c r="O52" s="477">
        <v>47730</v>
      </c>
      <c r="P52" s="1705">
        <f t="shared" ref="P52:P66" si="8">O52*M52</f>
        <v>47730</v>
      </c>
      <c r="Q52" s="2480">
        <v>1</v>
      </c>
      <c r="R52" s="892" t="s">
        <v>59</v>
      </c>
      <c r="S52" s="893">
        <v>58055</v>
      </c>
      <c r="T52" s="1318">
        <f t="shared" ref="T52:T64" si="9">S52*Q52</f>
        <v>58055</v>
      </c>
      <c r="U52" s="756">
        <f t="shared" si="7"/>
        <v>10325</v>
      </c>
      <c r="V52" s="761"/>
    </row>
    <row r="53" spans="2:22" x14ac:dyDescent="0.25">
      <c r="B53" s="486"/>
      <c r="C53" s="487"/>
      <c r="D53" s="487"/>
      <c r="E53" s="1932"/>
      <c r="F53" s="1650"/>
      <c r="G53" s="489"/>
      <c r="H53" s="489"/>
      <c r="I53" s="489"/>
      <c r="J53" s="487"/>
      <c r="K53" s="487"/>
      <c r="L53" s="2012" t="s">
        <v>636</v>
      </c>
      <c r="M53" s="859">
        <v>6</v>
      </c>
      <c r="N53" s="499" t="s">
        <v>445</v>
      </c>
      <c r="O53" s="477">
        <v>10000</v>
      </c>
      <c r="P53" s="1705">
        <f t="shared" si="8"/>
        <v>60000</v>
      </c>
      <c r="Q53" s="2480">
        <v>6</v>
      </c>
      <c r="R53" s="892" t="s">
        <v>445</v>
      </c>
      <c r="S53" s="893">
        <v>11000</v>
      </c>
      <c r="T53" s="1318">
        <f t="shared" si="9"/>
        <v>66000</v>
      </c>
      <c r="U53" s="756">
        <f t="shared" si="7"/>
        <v>6000</v>
      </c>
      <c r="V53" s="761"/>
    </row>
    <row r="54" spans="2:22" x14ac:dyDescent="0.25">
      <c r="B54" s="486"/>
      <c r="C54" s="487"/>
      <c r="D54" s="487"/>
      <c r="E54" s="1932"/>
      <c r="F54" s="1650"/>
      <c r="G54" s="489"/>
      <c r="H54" s="489"/>
      <c r="I54" s="489"/>
      <c r="J54" s="487"/>
      <c r="K54" s="487"/>
      <c r="L54" s="2012" t="s">
        <v>814</v>
      </c>
      <c r="M54" s="859">
        <v>3</v>
      </c>
      <c r="N54" s="499" t="s">
        <v>445</v>
      </c>
      <c r="O54" s="477">
        <v>8750</v>
      </c>
      <c r="P54" s="1705">
        <f t="shared" si="8"/>
        <v>26250</v>
      </c>
      <c r="Q54" s="2480">
        <v>3</v>
      </c>
      <c r="R54" s="892" t="s">
        <v>445</v>
      </c>
      <c r="S54" s="893">
        <v>10000</v>
      </c>
      <c r="T54" s="1318">
        <f t="shared" si="9"/>
        <v>30000</v>
      </c>
      <c r="U54" s="756">
        <f t="shared" si="7"/>
        <v>3750</v>
      </c>
      <c r="V54" s="761"/>
    </row>
    <row r="55" spans="2:22" x14ac:dyDescent="0.25">
      <c r="B55" s="486"/>
      <c r="C55" s="487"/>
      <c r="D55" s="487"/>
      <c r="E55" s="1932"/>
      <c r="F55" s="1650"/>
      <c r="G55" s="489"/>
      <c r="H55" s="489"/>
      <c r="I55" s="489"/>
      <c r="J55" s="487"/>
      <c r="K55" s="487"/>
      <c r="L55" s="2012" t="s">
        <v>1252</v>
      </c>
      <c r="M55" s="859">
        <v>4</v>
      </c>
      <c r="N55" s="499" t="s">
        <v>446</v>
      </c>
      <c r="O55" s="477">
        <v>13750</v>
      </c>
      <c r="P55" s="1705">
        <f t="shared" si="8"/>
        <v>55000</v>
      </c>
      <c r="Q55" s="2480">
        <v>4</v>
      </c>
      <c r="R55" s="892" t="s">
        <v>445</v>
      </c>
      <c r="S55" s="893">
        <v>14000</v>
      </c>
      <c r="T55" s="1318">
        <f t="shared" si="9"/>
        <v>56000</v>
      </c>
      <c r="U55" s="756">
        <f t="shared" si="7"/>
        <v>1000</v>
      </c>
      <c r="V55" s="761"/>
    </row>
    <row r="56" spans="2:22" x14ac:dyDescent="0.25">
      <c r="B56" s="486"/>
      <c r="C56" s="487"/>
      <c r="D56" s="487"/>
      <c r="E56" s="1932"/>
      <c r="F56" s="1650"/>
      <c r="G56" s="489"/>
      <c r="H56" s="489"/>
      <c r="I56" s="489"/>
      <c r="J56" s="487"/>
      <c r="K56" s="487"/>
      <c r="L56" s="2012" t="s">
        <v>1253</v>
      </c>
      <c r="M56" s="859">
        <v>1</v>
      </c>
      <c r="N56" s="499" t="s">
        <v>446</v>
      </c>
      <c r="O56" s="477">
        <v>62500</v>
      </c>
      <c r="P56" s="1705">
        <f t="shared" si="8"/>
        <v>62500</v>
      </c>
      <c r="Q56" s="2480">
        <v>1</v>
      </c>
      <c r="R56" s="892" t="s">
        <v>621</v>
      </c>
      <c r="S56" s="893">
        <v>67000</v>
      </c>
      <c r="T56" s="1318">
        <f t="shared" si="9"/>
        <v>67000</v>
      </c>
      <c r="U56" s="756">
        <f t="shared" si="7"/>
        <v>4500</v>
      </c>
      <c r="V56" s="761"/>
    </row>
    <row r="57" spans="2:22" x14ac:dyDescent="0.25">
      <c r="B57" s="486"/>
      <c r="C57" s="487"/>
      <c r="D57" s="487"/>
      <c r="E57" s="1932"/>
      <c r="F57" s="1650"/>
      <c r="G57" s="489"/>
      <c r="H57" s="489"/>
      <c r="I57" s="489"/>
      <c r="J57" s="487"/>
      <c r="K57" s="487"/>
      <c r="L57" s="2012" t="s">
        <v>786</v>
      </c>
      <c r="M57" s="859">
        <v>2</v>
      </c>
      <c r="N57" s="499" t="s">
        <v>787</v>
      </c>
      <c r="O57" s="477">
        <f>1250*12</f>
        <v>15000</v>
      </c>
      <c r="P57" s="1705">
        <f t="shared" si="8"/>
        <v>30000</v>
      </c>
      <c r="Q57" s="2480">
        <v>2</v>
      </c>
      <c r="R57" s="892" t="s">
        <v>621</v>
      </c>
      <c r="S57" s="893">
        <v>33000</v>
      </c>
      <c r="T57" s="1318">
        <f t="shared" si="9"/>
        <v>66000</v>
      </c>
      <c r="U57" s="756">
        <f t="shared" si="7"/>
        <v>36000</v>
      </c>
      <c r="V57" s="761"/>
    </row>
    <row r="58" spans="2:22" x14ac:dyDescent="0.25">
      <c r="B58" s="486"/>
      <c r="C58" s="487"/>
      <c r="D58" s="487"/>
      <c r="E58" s="1932"/>
      <c r="F58" s="1650"/>
      <c r="G58" s="489"/>
      <c r="H58" s="489"/>
      <c r="I58" s="489"/>
      <c r="J58" s="487"/>
      <c r="K58" s="487"/>
      <c r="L58" s="2012" t="s">
        <v>1254</v>
      </c>
      <c r="M58" s="859">
        <v>3</v>
      </c>
      <c r="N58" s="499" t="s">
        <v>445</v>
      </c>
      <c r="O58" s="477">
        <v>13750</v>
      </c>
      <c r="P58" s="1705">
        <f t="shared" si="8"/>
        <v>41250</v>
      </c>
      <c r="Q58" s="2480">
        <v>3</v>
      </c>
      <c r="R58" s="892" t="s">
        <v>445</v>
      </c>
      <c r="S58" s="893">
        <v>17000</v>
      </c>
      <c r="T58" s="1318">
        <f t="shared" si="9"/>
        <v>51000</v>
      </c>
      <c r="U58" s="756">
        <f t="shared" si="7"/>
        <v>9750</v>
      </c>
      <c r="V58" s="761"/>
    </row>
    <row r="59" spans="2:22" x14ac:dyDescent="0.25">
      <c r="B59" s="486"/>
      <c r="C59" s="487"/>
      <c r="D59" s="487"/>
      <c r="E59" s="1932"/>
      <c r="F59" s="1650"/>
      <c r="G59" s="489"/>
      <c r="H59" s="489"/>
      <c r="I59" s="489"/>
      <c r="J59" s="487"/>
      <c r="K59" s="487"/>
      <c r="L59" s="2012" t="s">
        <v>816</v>
      </c>
      <c r="M59" s="859">
        <v>4</v>
      </c>
      <c r="N59" s="499" t="s">
        <v>58</v>
      </c>
      <c r="O59" s="477">
        <v>2500</v>
      </c>
      <c r="P59" s="1705">
        <f t="shared" si="8"/>
        <v>10000</v>
      </c>
      <c r="Q59" s="2480">
        <v>4</v>
      </c>
      <c r="R59" s="892" t="s">
        <v>445</v>
      </c>
      <c r="S59" s="893">
        <v>3000</v>
      </c>
      <c r="T59" s="1318">
        <f t="shared" si="9"/>
        <v>12000</v>
      </c>
      <c r="U59" s="756">
        <f t="shared" si="7"/>
        <v>2000</v>
      </c>
      <c r="V59" s="761"/>
    </row>
    <row r="60" spans="2:22" x14ac:dyDescent="0.25">
      <c r="B60" s="486"/>
      <c r="C60" s="487"/>
      <c r="D60" s="487"/>
      <c r="E60" s="1932"/>
      <c r="F60" s="1650"/>
      <c r="G60" s="489"/>
      <c r="H60" s="489"/>
      <c r="I60" s="489"/>
      <c r="J60" s="489"/>
      <c r="K60" s="487"/>
      <c r="L60" s="2012" t="s">
        <v>1255</v>
      </c>
      <c r="M60" s="859">
        <v>27</v>
      </c>
      <c r="N60" s="499" t="s">
        <v>71</v>
      </c>
      <c r="O60" s="477">
        <v>3600</v>
      </c>
      <c r="P60" s="1705">
        <f t="shared" si="8"/>
        <v>97200</v>
      </c>
      <c r="Q60" s="2480">
        <v>62</v>
      </c>
      <c r="R60" s="892" t="s">
        <v>445</v>
      </c>
      <c r="S60" s="893">
        <v>80000</v>
      </c>
      <c r="T60" s="1318">
        <f t="shared" si="9"/>
        <v>4960000</v>
      </c>
      <c r="U60" s="756">
        <f t="shared" si="7"/>
        <v>4862800</v>
      </c>
      <c r="V60" s="761"/>
    </row>
    <row r="61" spans="2:22" x14ac:dyDescent="0.25">
      <c r="B61" s="486"/>
      <c r="C61" s="487"/>
      <c r="D61" s="487"/>
      <c r="E61" s="1932"/>
      <c r="F61" s="1650"/>
      <c r="G61" s="489"/>
      <c r="H61" s="489"/>
      <c r="I61" s="489"/>
      <c r="J61" s="489"/>
      <c r="K61" s="487"/>
      <c r="L61" s="2012" t="s">
        <v>1256</v>
      </c>
      <c r="M61" s="859">
        <v>27</v>
      </c>
      <c r="N61" s="499" t="s">
        <v>71</v>
      </c>
      <c r="O61" s="477">
        <v>3645</v>
      </c>
      <c r="P61" s="1705">
        <f t="shared" si="8"/>
        <v>98415</v>
      </c>
      <c r="Q61" s="2480">
        <v>5</v>
      </c>
      <c r="R61" s="892" t="s">
        <v>817</v>
      </c>
      <c r="S61" s="893">
        <v>54000</v>
      </c>
      <c r="T61" s="1318">
        <f t="shared" si="9"/>
        <v>270000</v>
      </c>
      <c r="U61" s="756">
        <f t="shared" si="7"/>
        <v>171585</v>
      </c>
      <c r="V61" s="761"/>
    </row>
    <row r="62" spans="2:22" x14ac:dyDescent="0.25">
      <c r="B62" s="486"/>
      <c r="C62" s="487"/>
      <c r="D62" s="487"/>
      <c r="E62" s="1932"/>
      <c r="F62" s="1650"/>
      <c r="G62" s="489"/>
      <c r="H62" s="489"/>
      <c r="I62" s="489"/>
      <c r="J62" s="489"/>
      <c r="K62" s="487"/>
      <c r="L62" s="2012" t="s">
        <v>1257</v>
      </c>
      <c r="M62" s="859">
        <v>27</v>
      </c>
      <c r="N62" s="499" t="s">
        <v>71</v>
      </c>
      <c r="O62" s="477">
        <v>15000</v>
      </c>
      <c r="P62" s="1705">
        <f t="shared" si="8"/>
        <v>405000</v>
      </c>
      <c r="Q62" s="2480">
        <v>3</v>
      </c>
      <c r="R62" s="892" t="s">
        <v>621</v>
      </c>
      <c r="S62" s="893">
        <v>32000</v>
      </c>
      <c r="T62" s="1318">
        <f t="shared" si="9"/>
        <v>96000</v>
      </c>
      <c r="U62" s="756">
        <f t="shared" si="7"/>
        <v>-309000</v>
      </c>
      <c r="V62" s="761"/>
    </row>
    <row r="63" spans="2:22" ht="14.5" customHeight="1" x14ac:dyDescent="0.25">
      <c r="B63" s="486"/>
      <c r="C63" s="487"/>
      <c r="D63" s="487"/>
      <c r="E63" s="1932"/>
      <c r="F63" s="1650"/>
      <c r="G63" s="489"/>
      <c r="H63" s="489"/>
      <c r="I63" s="489"/>
      <c r="J63" s="489"/>
      <c r="K63" s="487"/>
      <c r="L63" s="502" t="s">
        <v>1258</v>
      </c>
      <c r="M63" s="859">
        <v>54</v>
      </c>
      <c r="N63" s="499" t="s">
        <v>71</v>
      </c>
      <c r="O63" s="477">
        <v>3000</v>
      </c>
      <c r="P63" s="1705">
        <f t="shared" si="8"/>
        <v>162000</v>
      </c>
      <c r="Q63" s="2480">
        <v>62</v>
      </c>
      <c r="R63" s="892" t="s">
        <v>445</v>
      </c>
      <c r="S63" s="893">
        <v>8000</v>
      </c>
      <c r="T63" s="1318">
        <f t="shared" si="9"/>
        <v>496000</v>
      </c>
      <c r="U63" s="756">
        <f t="shared" si="7"/>
        <v>334000</v>
      </c>
      <c r="V63" s="761"/>
    </row>
    <row r="64" spans="2:22" x14ac:dyDescent="0.25">
      <c r="B64" s="486"/>
      <c r="C64" s="487"/>
      <c r="D64" s="487"/>
      <c r="E64" s="1932"/>
      <c r="F64" s="1650"/>
      <c r="G64" s="489"/>
      <c r="H64" s="489"/>
      <c r="I64" s="489"/>
      <c r="J64" s="489"/>
      <c r="K64" s="487"/>
      <c r="L64" s="502" t="s">
        <v>818</v>
      </c>
      <c r="M64" s="859">
        <v>62</v>
      </c>
      <c r="N64" s="499" t="s">
        <v>445</v>
      </c>
      <c r="O64" s="477">
        <v>8750</v>
      </c>
      <c r="P64" s="1705">
        <f t="shared" si="8"/>
        <v>542500</v>
      </c>
      <c r="Q64" s="2481">
        <v>1</v>
      </c>
      <c r="R64" s="892" t="s">
        <v>621</v>
      </c>
      <c r="S64" s="1097">
        <v>89325</v>
      </c>
      <c r="T64" s="1318">
        <f t="shared" si="9"/>
        <v>89325</v>
      </c>
      <c r="U64" s="756">
        <f t="shared" si="7"/>
        <v>-453175</v>
      </c>
      <c r="V64" s="761"/>
    </row>
    <row r="65" spans="2:22" x14ac:dyDescent="0.25">
      <c r="B65" s="486"/>
      <c r="C65" s="487"/>
      <c r="D65" s="487"/>
      <c r="E65" s="1932"/>
      <c r="F65" s="1650"/>
      <c r="G65" s="489"/>
      <c r="H65" s="489"/>
      <c r="I65" s="489"/>
      <c r="J65" s="489"/>
      <c r="K65" s="487"/>
      <c r="L65" s="502" t="s">
        <v>1259</v>
      </c>
      <c r="M65" s="859">
        <v>62</v>
      </c>
      <c r="N65" s="499" t="s">
        <v>71</v>
      </c>
      <c r="O65" s="477">
        <v>3600</v>
      </c>
      <c r="P65" s="1705">
        <f t="shared" si="8"/>
        <v>223200</v>
      </c>
      <c r="Q65" s="1043">
        <v>2</v>
      </c>
      <c r="R65" s="892" t="s">
        <v>151</v>
      </c>
      <c r="S65" s="1042">
        <v>11000</v>
      </c>
      <c r="T65" s="1318">
        <f>S65*Q65</f>
        <v>22000</v>
      </c>
      <c r="U65" s="756">
        <f t="shared" si="7"/>
        <v>-201200</v>
      </c>
      <c r="V65" s="439">
        <f>U65/P65*100</f>
        <v>-90.143369175627242</v>
      </c>
    </row>
    <row r="66" spans="2:22" x14ac:dyDescent="0.25">
      <c r="B66" s="486"/>
      <c r="C66" s="487"/>
      <c r="D66" s="487"/>
      <c r="E66" s="1932"/>
      <c r="F66" s="1650"/>
      <c r="G66" s="489"/>
      <c r="H66" s="489"/>
      <c r="I66" s="489"/>
      <c r="J66" s="489"/>
      <c r="K66" s="487"/>
      <c r="L66" s="2465" t="s">
        <v>819</v>
      </c>
      <c r="M66" s="1096">
        <v>1</v>
      </c>
      <c r="N66" s="1368" t="s">
        <v>446</v>
      </c>
      <c r="O66" s="2428">
        <v>87510</v>
      </c>
      <c r="P66" s="1705">
        <f t="shared" si="8"/>
        <v>87510</v>
      </c>
      <c r="Q66" s="2482">
        <v>2</v>
      </c>
      <c r="R66" s="1099" t="s">
        <v>151</v>
      </c>
      <c r="S66" s="1100">
        <v>6000</v>
      </c>
      <c r="T66" s="1318">
        <f>S66*Q66</f>
        <v>12000</v>
      </c>
      <c r="U66" s="756">
        <f t="shared" si="7"/>
        <v>-75510</v>
      </c>
      <c r="V66" s="761"/>
    </row>
    <row r="67" spans="2:22" x14ac:dyDescent="0.25">
      <c r="B67" s="486"/>
      <c r="C67" s="487"/>
      <c r="D67" s="487"/>
      <c r="E67" s="1932"/>
      <c r="F67" s="1650"/>
      <c r="G67" s="489"/>
      <c r="H67" s="489"/>
      <c r="I67" s="489"/>
      <c r="J67" s="489"/>
      <c r="K67" s="487"/>
      <c r="L67" s="2466" t="s">
        <v>1260</v>
      </c>
      <c r="M67" s="1043">
        <v>62</v>
      </c>
      <c r="N67" s="1057" t="s">
        <v>445</v>
      </c>
      <c r="O67" s="2226">
        <v>80000</v>
      </c>
      <c r="P67" s="1705">
        <f>O67*M67</f>
        <v>4960000</v>
      </c>
      <c r="Q67" s="2482"/>
      <c r="R67" s="1099"/>
      <c r="S67" s="1100"/>
      <c r="T67" s="1318"/>
      <c r="U67" s="756"/>
      <c r="V67" s="761"/>
    </row>
    <row r="68" spans="2:22" x14ac:dyDescent="0.25">
      <c r="B68" s="486"/>
      <c r="C68" s="487"/>
      <c r="D68" s="487"/>
      <c r="E68" s="1932"/>
      <c r="F68" s="1650"/>
      <c r="G68" s="489"/>
      <c r="H68" s="489"/>
      <c r="I68" s="489"/>
      <c r="J68" s="489"/>
      <c r="K68" s="487"/>
      <c r="L68" s="2012"/>
      <c r="M68" s="859"/>
      <c r="N68" s="499"/>
      <c r="O68" s="477"/>
      <c r="P68" s="548"/>
      <c r="Q68" s="2482"/>
      <c r="R68" s="1099"/>
      <c r="S68" s="1100"/>
      <c r="T68" s="1318"/>
      <c r="U68" s="756"/>
      <c r="V68" s="439"/>
    </row>
    <row r="69" spans="2:22" x14ac:dyDescent="0.25">
      <c r="B69" s="654">
        <v>1</v>
      </c>
      <c r="C69" s="564" t="s">
        <v>239</v>
      </c>
      <c r="D69" s="564" t="s">
        <v>84</v>
      </c>
      <c r="E69" s="826">
        <v>18</v>
      </c>
      <c r="F69" s="826" t="s">
        <v>97</v>
      </c>
      <c r="G69" s="474">
        <v>5</v>
      </c>
      <c r="H69" s="474">
        <v>2</v>
      </c>
      <c r="I69" s="474">
        <v>2</v>
      </c>
      <c r="J69" s="564" t="s">
        <v>84</v>
      </c>
      <c r="K69" s="564" t="s">
        <v>1011</v>
      </c>
      <c r="L69" s="2005" t="s">
        <v>1261</v>
      </c>
      <c r="M69" s="850"/>
      <c r="N69" s="1326"/>
      <c r="O69" s="1917"/>
      <c r="P69" s="1594">
        <f>SUM(P70:P73)</f>
        <v>7000000</v>
      </c>
      <c r="Q69" s="2480"/>
      <c r="R69" s="892"/>
      <c r="S69" s="893"/>
      <c r="T69" s="895"/>
      <c r="U69" s="756"/>
      <c r="V69" s="761"/>
    </row>
    <row r="70" spans="2:22" x14ac:dyDescent="0.25">
      <c r="B70" s="486"/>
      <c r="C70" s="487"/>
      <c r="D70" s="487"/>
      <c r="E70" s="1932"/>
      <c r="F70" s="487"/>
      <c r="G70" s="489"/>
      <c r="H70" s="489"/>
      <c r="I70" s="489"/>
      <c r="J70" s="489"/>
      <c r="K70" s="487"/>
      <c r="L70" s="2467" t="s">
        <v>1262</v>
      </c>
      <c r="M70" s="859">
        <v>1</v>
      </c>
      <c r="N70" s="499" t="s">
        <v>176</v>
      </c>
      <c r="O70" s="477">
        <v>2500000</v>
      </c>
      <c r="P70" s="548">
        <f t="shared" ref="P70:P73" si="10">O70*M70</f>
        <v>2500000</v>
      </c>
      <c r="Q70" s="2480"/>
      <c r="R70" s="892"/>
      <c r="S70" s="893"/>
      <c r="T70" s="876"/>
      <c r="U70" s="756"/>
      <c r="V70" s="761"/>
    </row>
    <row r="71" spans="2:22" x14ac:dyDescent="0.25">
      <c r="B71" s="486"/>
      <c r="C71" s="487"/>
      <c r="D71" s="487"/>
      <c r="E71" s="1932"/>
      <c r="F71" s="487"/>
      <c r="G71" s="489"/>
      <c r="H71" s="489"/>
      <c r="I71" s="489"/>
      <c r="J71" s="489"/>
      <c r="K71" s="487"/>
      <c r="L71" s="2467" t="s">
        <v>1263</v>
      </c>
      <c r="M71" s="859">
        <v>1</v>
      </c>
      <c r="N71" s="499" t="s">
        <v>176</v>
      </c>
      <c r="O71" s="477">
        <v>2000000</v>
      </c>
      <c r="P71" s="548">
        <f t="shared" si="10"/>
        <v>2000000</v>
      </c>
      <c r="Q71" s="810"/>
      <c r="R71" s="863"/>
      <c r="S71" s="851"/>
      <c r="T71" s="1595"/>
      <c r="U71" s="756"/>
      <c r="V71" s="761"/>
    </row>
    <row r="72" spans="2:22" x14ac:dyDescent="0.25">
      <c r="B72" s="486"/>
      <c r="C72" s="487"/>
      <c r="D72" s="487"/>
      <c r="E72" s="1932"/>
      <c r="F72" s="487"/>
      <c r="G72" s="489"/>
      <c r="H72" s="489"/>
      <c r="I72" s="489"/>
      <c r="J72" s="489"/>
      <c r="K72" s="487"/>
      <c r="L72" s="2467" t="s">
        <v>1264</v>
      </c>
      <c r="M72" s="859">
        <v>1</v>
      </c>
      <c r="N72" s="499" t="s">
        <v>176</v>
      </c>
      <c r="O72" s="477">
        <v>1500000</v>
      </c>
      <c r="P72" s="548">
        <f t="shared" si="10"/>
        <v>1500000</v>
      </c>
      <c r="Q72" s="2480"/>
      <c r="R72" s="892"/>
      <c r="S72" s="893"/>
      <c r="T72" s="895"/>
      <c r="U72" s="756"/>
      <c r="V72" s="761"/>
    </row>
    <row r="73" spans="2:22" x14ac:dyDescent="0.25">
      <c r="B73" s="486"/>
      <c r="C73" s="487"/>
      <c r="D73" s="487"/>
      <c r="E73" s="1932"/>
      <c r="F73" s="487"/>
      <c r="G73" s="489"/>
      <c r="H73" s="489"/>
      <c r="I73" s="489"/>
      <c r="J73" s="489"/>
      <c r="K73" s="487"/>
      <c r="L73" s="2440" t="s">
        <v>1265</v>
      </c>
      <c r="M73" s="859">
        <v>1</v>
      </c>
      <c r="N73" s="499" t="s">
        <v>177</v>
      </c>
      <c r="O73" s="477">
        <v>1000000</v>
      </c>
      <c r="P73" s="548">
        <f t="shared" si="10"/>
        <v>1000000</v>
      </c>
      <c r="Q73" s="2480"/>
      <c r="R73" s="892"/>
      <c r="S73" s="893"/>
      <c r="T73" s="895"/>
      <c r="U73" s="756"/>
      <c r="V73" s="761"/>
    </row>
    <row r="74" spans="2:22" x14ac:dyDescent="0.25">
      <c r="B74" s="486"/>
      <c r="C74" s="487"/>
      <c r="D74" s="487"/>
      <c r="E74" s="1932"/>
      <c r="F74" s="487"/>
      <c r="G74" s="489"/>
      <c r="H74" s="489"/>
      <c r="I74" s="489"/>
      <c r="J74" s="489"/>
      <c r="K74" s="487"/>
      <c r="L74" s="2440"/>
      <c r="M74" s="859"/>
      <c r="N74" s="499"/>
      <c r="O74" s="477"/>
      <c r="P74" s="548"/>
      <c r="Q74" s="2480"/>
      <c r="R74" s="892"/>
      <c r="S74" s="893"/>
      <c r="T74" s="895"/>
      <c r="U74" s="756"/>
      <c r="V74" s="761"/>
    </row>
    <row r="75" spans="2:22" x14ac:dyDescent="0.25">
      <c r="B75" s="486">
        <v>1</v>
      </c>
      <c r="C75" s="487" t="s">
        <v>239</v>
      </c>
      <c r="D75" s="487" t="s">
        <v>84</v>
      </c>
      <c r="E75" s="1650">
        <v>18</v>
      </c>
      <c r="F75" s="826" t="s">
        <v>97</v>
      </c>
      <c r="G75" s="473">
        <v>5</v>
      </c>
      <c r="H75" s="473">
        <v>2</v>
      </c>
      <c r="I75" s="473">
        <v>2</v>
      </c>
      <c r="J75" s="487" t="s">
        <v>97</v>
      </c>
      <c r="K75" s="487"/>
      <c r="L75" s="1675" t="s">
        <v>57</v>
      </c>
      <c r="M75" s="859"/>
      <c r="N75" s="499"/>
      <c r="O75" s="477"/>
      <c r="P75" s="547">
        <f>P76+P81</f>
        <v>7700000</v>
      </c>
      <c r="Q75" s="2480"/>
      <c r="R75" s="892"/>
      <c r="S75" s="893"/>
      <c r="T75" s="547">
        <f>T76+T81</f>
        <v>19320000</v>
      </c>
      <c r="U75" s="756">
        <f t="shared" ref="U75" si="11">SUM(T75)-P75</f>
        <v>11620000</v>
      </c>
      <c r="V75" s="761"/>
    </row>
    <row r="76" spans="2:22" x14ac:dyDescent="0.25">
      <c r="B76" s="486">
        <v>1</v>
      </c>
      <c r="C76" s="487" t="s">
        <v>239</v>
      </c>
      <c r="D76" s="487" t="s">
        <v>84</v>
      </c>
      <c r="E76" s="1650">
        <v>18</v>
      </c>
      <c r="F76" s="826" t="s">
        <v>97</v>
      </c>
      <c r="G76" s="473">
        <v>5</v>
      </c>
      <c r="H76" s="473">
        <v>2</v>
      </c>
      <c r="I76" s="473">
        <v>2</v>
      </c>
      <c r="J76" s="487" t="s">
        <v>97</v>
      </c>
      <c r="K76" s="487">
        <v>12</v>
      </c>
      <c r="L76" s="1916" t="s">
        <v>141</v>
      </c>
      <c r="M76" s="850"/>
      <c r="N76" s="1326"/>
      <c r="O76" s="1917"/>
      <c r="P76" s="551">
        <f>SUM(P77:P78)</f>
        <v>1520000</v>
      </c>
      <c r="Q76" s="2480"/>
      <c r="R76" s="892"/>
      <c r="S76" s="893"/>
      <c r="T76" s="895">
        <f>SUM(T77:T79)</f>
        <v>10240000</v>
      </c>
      <c r="U76" s="756"/>
      <c r="V76" s="761"/>
    </row>
    <row r="77" spans="2:22" ht="14.5" customHeight="1" x14ac:dyDescent="0.25">
      <c r="B77" s="486"/>
      <c r="C77" s="487"/>
      <c r="D77" s="487"/>
      <c r="E77" s="1932"/>
      <c r="F77" s="487"/>
      <c r="G77" s="489"/>
      <c r="H77" s="489"/>
      <c r="I77" s="489"/>
      <c r="J77" s="489"/>
      <c r="K77" s="487"/>
      <c r="L77" s="2012" t="s">
        <v>820</v>
      </c>
      <c r="M77" s="859">
        <v>12</v>
      </c>
      <c r="N77" s="499" t="s">
        <v>180</v>
      </c>
      <c r="O77" s="477">
        <v>60000</v>
      </c>
      <c r="P77" s="548">
        <f>O77*M77</f>
        <v>720000</v>
      </c>
      <c r="Q77" s="2480">
        <v>4</v>
      </c>
      <c r="R77" s="892" t="s">
        <v>180</v>
      </c>
      <c r="S77" s="893">
        <v>60000</v>
      </c>
      <c r="T77" s="895">
        <f>S77*Q77</f>
        <v>240000</v>
      </c>
      <c r="U77" s="756">
        <f t="shared" ref="U77:U84" si="12">SUM(T77)-P77</f>
        <v>-480000</v>
      </c>
      <c r="V77" s="761"/>
    </row>
    <row r="78" spans="2:22" x14ac:dyDescent="0.25">
      <c r="B78" s="486"/>
      <c r="C78" s="487"/>
      <c r="D78" s="487"/>
      <c r="E78" s="1932"/>
      <c r="F78" s="487"/>
      <c r="G78" s="489"/>
      <c r="H78" s="489"/>
      <c r="I78" s="489"/>
      <c r="J78" s="489"/>
      <c r="K78" s="487"/>
      <c r="L78" s="2012" t="s">
        <v>821</v>
      </c>
      <c r="M78" s="859">
        <v>1</v>
      </c>
      <c r="N78" s="499" t="s">
        <v>100</v>
      </c>
      <c r="O78" s="477">
        <v>800000</v>
      </c>
      <c r="P78" s="548">
        <f>O78*M78</f>
        <v>800000</v>
      </c>
      <c r="Q78" s="2480"/>
      <c r="R78" s="892"/>
      <c r="S78" s="893"/>
      <c r="T78" s="895"/>
      <c r="U78" s="756"/>
      <c r="V78" s="761"/>
    </row>
    <row r="79" spans="2:22" ht="25" x14ac:dyDescent="0.25">
      <c r="B79" s="486"/>
      <c r="C79" s="487"/>
      <c r="D79" s="487"/>
      <c r="E79" s="1932"/>
      <c r="F79" s="487"/>
      <c r="G79" s="489"/>
      <c r="H79" s="489"/>
      <c r="I79" s="489"/>
      <c r="J79" s="489"/>
      <c r="K79" s="487"/>
      <c r="L79" s="2486" t="s">
        <v>822</v>
      </c>
      <c r="M79" s="859"/>
      <c r="N79" s="499"/>
      <c r="O79" s="477"/>
      <c r="P79" s="548"/>
      <c r="Q79" s="2480">
        <v>2</v>
      </c>
      <c r="R79" s="892" t="s">
        <v>176</v>
      </c>
      <c r="S79" s="893">
        <v>5000000</v>
      </c>
      <c r="T79" s="895">
        <f>Q79*S79</f>
        <v>10000000</v>
      </c>
      <c r="U79" s="756"/>
      <c r="V79" s="761"/>
    </row>
    <row r="80" spans="2:22" x14ac:dyDescent="0.25">
      <c r="B80" s="486"/>
      <c r="C80" s="487"/>
      <c r="D80" s="487"/>
      <c r="E80" s="1932"/>
      <c r="F80" s="487"/>
      <c r="G80" s="489"/>
      <c r="H80" s="489"/>
      <c r="I80" s="489"/>
      <c r="J80" s="489"/>
      <c r="K80" s="487"/>
      <c r="L80" s="1759"/>
      <c r="M80" s="859"/>
      <c r="N80" s="499"/>
      <c r="O80" s="477"/>
      <c r="P80" s="548"/>
      <c r="Q80" s="1025"/>
      <c r="R80" s="1020"/>
      <c r="S80" s="1042"/>
      <c r="T80" s="1210"/>
      <c r="U80" s="756">
        <f t="shared" si="12"/>
        <v>0</v>
      </c>
      <c r="V80" s="761"/>
    </row>
    <row r="81" spans="2:22" x14ac:dyDescent="0.25">
      <c r="B81" s="486">
        <v>1</v>
      </c>
      <c r="C81" s="487" t="s">
        <v>239</v>
      </c>
      <c r="D81" s="487" t="s">
        <v>84</v>
      </c>
      <c r="E81" s="1650">
        <v>18</v>
      </c>
      <c r="F81" s="826" t="s">
        <v>97</v>
      </c>
      <c r="G81" s="473">
        <v>5</v>
      </c>
      <c r="H81" s="473">
        <v>2</v>
      </c>
      <c r="I81" s="489">
        <v>2</v>
      </c>
      <c r="J81" s="487" t="s">
        <v>97</v>
      </c>
      <c r="K81" s="487">
        <v>27</v>
      </c>
      <c r="L81" s="889" t="s">
        <v>210</v>
      </c>
      <c r="M81" s="847"/>
      <c r="N81" s="1326"/>
      <c r="O81" s="1917"/>
      <c r="P81" s="1317">
        <f>SUM(P82:P85)</f>
        <v>6180000</v>
      </c>
      <c r="Q81" s="1025"/>
      <c r="R81" s="1020"/>
      <c r="S81" s="1317"/>
      <c r="T81" s="2489">
        <f>SUM(T82:T87)</f>
        <v>9080000</v>
      </c>
      <c r="U81" s="756">
        <f t="shared" si="12"/>
        <v>2900000</v>
      </c>
      <c r="V81" s="761"/>
    </row>
    <row r="82" spans="2:22" ht="25" x14ac:dyDescent="0.25">
      <c r="B82" s="486"/>
      <c r="C82" s="487"/>
      <c r="D82" s="487"/>
      <c r="E82" s="1932"/>
      <c r="F82" s="1932"/>
      <c r="G82" s="489"/>
      <c r="H82" s="489"/>
      <c r="I82" s="116"/>
      <c r="J82" s="6"/>
      <c r="K82" s="487"/>
      <c r="L82" s="2369" t="s">
        <v>823</v>
      </c>
      <c r="M82" s="1025">
        <f>1*2*4</f>
        <v>8</v>
      </c>
      <c r="N82" s="1020" t="s">
        <v>454</v>
      </c>
      <c r="O82" s="1042">
        <v>300000</v>
      </c>
      <c r="P82" s="1169">
        <f t="shared" ref="P82:P85" si="13">O82*M82</f>
        <v>2400000</v>
      </c>
      <c r="Q82" s="1025"/>
      <c r="R82" s="1020"/>
      <c r="S82" s="1042"/>
      <c r="T82" s="1210"/>
      <c r="U82" s="756">
        <f t="shared" si="12"/>
        <v>-2400000</v>
      </c>
      <c r="V82" s="761"/>
    </row>
    <row r="83" spans="2:22" ht="25" x14ac:dyDescent="0.25">
      <c r="B83" s="486"/>
      <c r="C83" s="487"/>
      <c r="D83" s="487"/>
      <c r="E83" s="1932"/>
      <c r="F83" s="1932"/>
      <c r="G83" s="489"/>
      <c r="H83" s="489"/>
      <c r="I83" s="116"/>
      <c r="J83" s="6"/>
      <c r="K83" s="487"/>
      <c r="L83" s="2369" t="s">
        <v>1266</v>
      </c>
      <c r="M83" s="1025">
        <f>1*2*4</f>
        <v>8</v>
      </c>
      <c r="N83" s="1020" t="s">
        <v>454</v>
      </c>
      <c r="O83" s="1042">
        <v>250000</v>
      </c>
      <c r="P83" s="1169">
        <f t="shared" si="13"/>
        <v>2000000</v>
      </c>
      <c r="Q83" s="1025"/>
      <c r="R83" s="1020"/>
      <c r="S83" s="1042"/>
      <c r="T83" s="1210"/>
      <c r="U83" s="756">
        <f t="shared" si="12"/>
        <v>-2000000</v>
      </c>
      <c r="V83" s="761"/>
    </row>
    <row r="84" spans="2:22" x14ac:dyDescent="0.25">
      <c r="B84" s="486"/>
      <c r="C84" s="487"/>
      <c r="D84" s="487"/>
      <c r="E84" s="1932"/>
      <c r="F84" s="1932"/>
      <c r="G84" s="489"/>
      <c r="H84" s="489"/>
      <c r="I84" s="116"/>
      <c r="J84" s="6"/>
      <c r="K84" s="487"/>
      <c r="L84" s="2003" t="s">
        <v>825</v>
      </c>
      <c r="M84" s="847">
        <f>2*4</f>
        <v>8</v>
      </c>
      <c r="N84" s="1326" t="s">
        <v>108</v>
      </c>
      <c r="O84" s="2014">
        <v>35000</v>
      </c>
      <c r="P84" s="2166">
        <f t="shared" si="13"/>
        <v>280000</v>
      </c>
      <c r="Q84" s="847">
        <v>8</v>
      </c>
      <c r="R84" s="1326" t="s">
        <v>108</v>
      </c>
      <c r="S84" s="2014">
        <v>35000</v>
      </c>
      <c r="T84" s="2166">
        <f t="shared" ref="T84" si="14">S84*Q84</f>
        <v>280000</v>
      </c>
      <c r="U84" s="812">
        <f t="shared" si="12"/>
        <v>0</v>
      </c>
      <c r="V84" s="761"/>
    </row>
    <row r="85" spans="2:22" x14ac:dyDescent="0.25">
      <c r="B85" s="486"/>
      <c r="C85" s="487"/>
      <c r="D85" s="487"/>
      <c r="E85" s="1932"/>
      <c r="F85" s="1932"/>
      <c r="G85" s="489"/>
      <c r="H85" s="489"/>
      <c r="I85" s="116"/>
      <c r="J85" s="6"/>
      <c r="K85" s="487"/>
      <c r="L85" s="2003" t="s">
        <v>826</v>
      </c>
      <c r="M85" s="1073">
        <v>3</v>
      </c>
      <c r="N85" s="1326" t="s">
        <v>150</v>
      </c>
      <c r="O85" s="2237">
        <v>500000</v>
      </c>
      <c r="P85" s="2166">
        <f t="shared" si="13"/>
        <v>1500000</v>
      </c>
      <c r="Q85" s="2479"/>
      <c r="R85" s="863"/>
      <c r="S85" s="903"/>
      <c r="T85" s="1169"/>
      <c r="U85" s="812"/>
      <c r="V85" s="761"/>
    </row>
    <row r="86" spans="2:22" ht="25" x14ac:dyDescent="0.25">
      <c r="B86" s="486"/>
      <c r="C86" s="487"/>
      <c r="D86" s="487"/>
      <c r="E86" s="1932"/>
      <c r="F86" s="1932"/>
      <c r="G86" s="489"/>
      <c r="H86" s="489"/>
      <c r="I86" s="116"/>
      <c r="J86" s="6"/>
      <c r="K86" s="487"/>
      <c r="L86" s="2487" t="s">
        <v>1267</v>
      </c>
      <c r="M86" s="1073"/>
      <c r="N86" s="1326"/>
      <c r="O86" s="2237"/>
      <c r="P86" s="2166"/>
      <c r="Q86" s="847">
        <f>1*4*4</f>
        <v>16</v>
      </c>
      <c r="R86" s="863" t="s">
        <v>108</v>
      </c>
      <c r="S86" s="903">
        <v>300000</v>
      </c>
      <c r="T86" s="1169">
        <f t="shared" ref="T86:T87" si="15">S86*Q86</f>
        <v>4800000</v>
      </c>
      <c r="U86" s="812"/>
      <c r="V86" s="761"/>
    </row>
    <row r="87" spans="2:22" ht="25" x14ac:dyDescent="0.25">
      <c r="B87" s="486"/>
      <c r="C87" s="487"/>
      <c r="D87" s="487"/>
      <c r="E87" s="1932"/>
      <c r="F87" s="1932"/>
      <c r="G87" s="489"/>
      <c r="H87" s="489"/>
      <c r="I87" s="116"/>
      <c r="J87" s="6"/>
      <c r="K87" s="487"/>
      <c r="L87" s="2488" t="s">
        <v>824</v>
      </c>
      <c r="M87" s="1073"/>
      <c r="N87" s="1326"/>
      <c r="O87" s="2237"/>
      <c r="P87" s="2166"/>
      <c r="Q87" s="847">
        <f>1*4*4</f>
        <v>16</v>
      </c>
      <c r="R87" s="863" t="s">
        <v>108</v>
      </c>
      <c r="S87" s="903">
        <v>250000</v>
      </c>
      <c r="T87" s="1169">
        <f t="shared" si="15"/>
        <v>4000000</v>
      </c>
      <c r="U87" s="812"/>
      <c r="V87" s="761"/>
    </row>
    <row r="88" spans="2:22" x14ac:dyDescent="0.25">
      <c r="B88" s="486"/>
      <c r="C88" s="487"/>
      <c r="D88" s="487"/>
      <c r="E88" s="1932"/>
      <c r="F88" s="1932"/>
      <c r="G88" s="489"/>
      <c r="H88" s="489"/>
      <c r="I88" s="116"/>
      <c r="J88" s="6"/>
      <c r="K88" s="487"/>
      <c r="L88" s="2002"/>
      <c r="M88" s="1073"/>
      <c r="N88" s="1326"/>
      <c r="O88" s="2237"/>
      <c r="P88" s="2166"/>
      <c r="Q88" s="2479"/>
      <c r="R88" s="863"/>
      <c r="S88" s="903"/>
      <c r="T88" s="1210"/>
      <c r="U88" s="756"/>
      <c r="V88" s="761"/>
    </row>
    <row r="89" spans="2:22" x14ac:dyDescent="0.25">
      <c r="B89" s="486">
        <v>1</v>
      </c>
      <c r="C89" s="487" t="s">
        <v>239</v>
      </c>
      <c r="D89" s="487" t="s">
        <v>84</v>
      </c>
      <c r="E89" s="1650">
        <v>18</v>
      </c>
      <c r="F89" s="826" t="s">
        <v>97</v>
      </c>
      <c r="G89" s="473">
        <v>5</v>
      </c>
      <c r="H89" s="473">
        <v>2</v>
      </c>
      <c r="I89" s="473">
        <v>2</v>
      </c>
      <c r="J89" s="487" t="s">
        <v>86</v>
      </c>
      <c r="K89" s="489"/>
      <c r="L89" s="2009" t="s">
        <v>60</v>
      </c>
      <c r="M89" s="850"/>
      <c r="N89" s="2438"/>
      <c r="O89" s="1914"/>
      <c r="P89" s="2031">
        <f>P90+P96</f>
        <v>5780325</v>
      </c>
      <c r="Q89" s="810"/>
      <c r="R89" s="863"/>
      <c r="S89" s="851"/>
      <c r="T89" s="2031">
        <f>T90+T96</f>
        <v>3260000</v>
      </c>
      <c r="U89" s="756">
        <f t="shared" ref="U89:U95" si="16">SUM(T89)-P89</f>
        <v>-2520325</v>
      </c>
      <c r="V89" s="761"/>
    </row>
    <row r="90" spans="2:22" x14ac:dyDescent="0.25">
      <c r="B90" s="486">
        <v>1</v>
      </c>
      <c r="C90" s="487" t="s">
        <v>239</v>
      </c>
      <c r="D90" s="487" t="s">
        <v>84</v>
      </c>
      <c r="E90" s="1650">
        <v>18</v>
      </c>
      <c r="F90" s="826" t="s">
        <v>97</v>
      </c>
      <c r="G90" s="473">
        <v>5</v>
      </c>
      <c r="H90" s="473">
        <v>2</v>
      </c>
      <c r="I90" s="473">
        <v>2</v>
      </c>
      <c r="J90" s="487" t="s">
        <v>86</v>
      </c>
      <c r="K90" s="487" t="s">
        <v>84</v>
      </c>
      <c r="L90" s="1916" t="s">
        <v>77</v>
      </c>
      <c r="M90" s="850"/>
      <c r="N90" s="1326"/>
      <c r="O90" s="1917"/>
      <c r="P90" s="551">
        <f>SUM(P91:P94)</f>
        <v>1230325</v>
      </c>
      <c r="Q90" s="2480"/>
      <c r="R90" s="892"/>
      <c r="S90" s="893"/>
      <c r="T90" s="1318">
        <f>SUM(T91:T95)</f>
        <v>1237000</v>
      </c>
      <c r="U90" s="756">
        <f t="shared" si="16"/>
        <v>6675</v>
      </c>
      <c r="V90" s="761"/>
    </row>
    <row r="91" spans="2:22" x14ac:dyDescent="0.25">
      <c r="B91" s="486"/>
      <c r="C91" s="487"/>
      <c r="D91" s="487"/>
      <c r="E91" s="1932"/>
      <c r="F91" s="487"/>
      <c r="G91" s="489"/>
      <c r="H91" s="489"/>
      <c r="I91" s="489"/>
      <c r="J91" s="489"/>
      <c r="K91" s="487"/>
      <c r="L91" s="2012" t="s">
        <v>827</v>
      </c>
      <c r="M91" s="859">
        <f>27+9+3+1+10</f>
        <v>50</v>
      </c>
      <c r="N91" s="499" t="s">
        <v>199</v>
      </c>
      <c r="O91" s="477">
        <v>14000</v>
      </c>
      <c r="P91" s="1705">
        <f>O91*M91</f>
        <v>700000</v>
      </c>
      <c r="Q91" s="810">
        <v>62</v>
      </c>
      <c r="R91" s="863" t="s">
        <v>231</v>
      </c>
      <c r="S91" s="900">
        <v>5000</v>
      </c>
      <c r="T91" s="1318">
        <f t="shared" ref="T91:T95" si="17">S91*Q91</f>
        <v>310000</v>
      </c>
      <c r="U91" s="756">
        <f t="shared" si="16"/>
        <v>-390000</v>
      </c>
      <c r="V91" s="761"/>
    </row>
    <row r="92" spans="2:22" ht="25" x14ac:dyDescent="0.25">
      <c r="B92" s="510"/>
      <c r="C92" s="506"/>
      <c r="D92" s="506"/>
      <c r="E92" s="1911"/>
      <c r="F92" s="506"/>
      <c r="G92" s="513"/>
      <c r="H92" s="513"/>
      <c r="I92" s="513"/>
      <c r="J92" s="513"/>
      <c r="K92" s="506"/>
      <c r="L92" s="2468" t="s">
        <v>828</v>
      </c>
      <c r="M92" s="850">
        <v>62</v>
      </c>
      <c r="N92" s="2469" t="s">
        <v>231</v>
      </c>
      <c r="O92" s="2470">
        <v>5000</v>
      </c>
      <c r="P92" s="1212">
        <f t="shared" ref="P92:P94" si="18">O92*M92</f>
        <v>310000</v>
      </c>
      <c r="Q92" s="2480">
        <v>30</v>
      </c>
      <c r="R92" s="892" t="s">
        <v>58</v>
      </c>
      <c r="S92" s="893">
        <v>5000</v>
      </c>
      <c r="T92" s="1318">
        <f t="shared" si="17"/>
        <v>150000</v>
      </c>
      <c r="U92" s="756">
        <f t="shared" si="16"/>
        <v>-160000</v>
      </c>
      <c r="V92" s="761"/>
    </row>
    <row r="93" spans="2:22" x14ac:dyDescent="0.25">
      <c r="B93" s="510"/>
      <c r="C93" s="506"/>
      <c r="D93" s="506"/>
      <c r="E93" s="1911"/>
      <c r="F93" s="506"/>
      <c r="G93" s="513"/>
      <c r="H93" s="513"/>
      <c r="I93" s="513"/>
      <c r="J93" s="513"/>
      <c r="K93" s="506"/>
      <c r="L93" s="502" t="s">
        <v>829</v>
      </c>
      <c r="M93" s="859">
        <v>30</v>
      </c>
      <c r="N93" s="499" t="s">
        <v>58</v>
      </c>
      <c r="O93" s="477">
        <v>5000</v>
      </c>
      <c r="P93" s="1705">
        <f t="shared" si="18"/>
        <v>150000</v>
      </c>
      <c r="Q93" s="2483">
        <v>3</v>
      </c>
      <c r="R93" s="901" t="s">
        <v>199</v>
      </c>
      <c r="S93" s="902">
        <v>70000</v>
      </c>
      <c r="T93" s="1318">
        <f t="shared" si="17"/>
        <v>210000</v>
      </c>
      <c r="U93" s="756">
        <f t="shared" si="16"/>
        <v>60000</v>
      </c>
      <c r="V93" s="761"/>
    </row>
    <row r="94" spans="2:22" x14ac:dyDescent="0.25">
      <c r="B94" s="510"/>
      <c r="C94" s="506"/>
      <c r="D94" s="506"/>
      <c r="E94" s="1911"/>
      <c r="F94" s="506"/>
      <c r="G94" s="513"/>
      <c r="H94" s="513"/>
      <c r="I94" s="513"/>
      <c r="J94" s="513"/>
      <c r="K94" s="506"/>
      <c r="L94" s="2471" t="s">
        <v>830</v>
      </c>
      <c r="M94" s="861">
        <v>1</v>
      </c>
      <c r="N94" s="508" t="s">
        <v>199</v>
      </c>
      <c r="O94" s="509">
        <v>70325</v>
      </c>
      <c r="P94" s="1705">
        <f t="shared" si="18"/>
        <v>70325</v>
      </c>
      <c r="Q94" s="2483">
        <v>27</v>
      </c>
      <c r="R94" s="901" t="s">
        <v>831</v>
      </c>
      <c r="S94" s="902">
        <v>15000</v>
      </c>
      <c r="T94" s="1318">
        <f t="shared" si="17"/>
        <v>405000</v>
      </c>
      <c r="U94" s="756">
        <f t="shared" si="16"/>
        <v>334675</v>
      </c>
      <c r="V94" s="761"/>
    </row>
    <row r="95" spans="2:22" x14ac:dyDescent="0.25">
      <c r="B95" s="510"/>
      <c r="C95" s="506"/>
      <c r="D95" s="506"/>
      <c r="E95" s="1911"/>
      <c r="F95" s="506"/>
      <c r="G95" s="513"/>
      <c r="H95" s="513"/>
      <c r="I95" s="513"/>
      <c r="J95" s="513"/>
      <c r="K95" s="506"/>
      <c r="L95" s="2472"/>
      <c r="M95" s="861"/>
      <c r="N95" s="508"/>
      <c r="O95" s="509"/>
      <c r="P95" s="1705"/>
      <c r="Q95" s="2483">
        <v>54</v>
      </c>
      <c r="R95" s="901" t="s">
        <v>831</v>
      </c>
      <c r="S95" s="902">
        <v>3000</v>
      </c>
      <c r="T95" s="1318">
        <f t="shared" si="17"/>
        <v>162000</v>
      </c>
      <c r="U95" s="756">
        <f t="shared" si="16"/>
        <v>162000</v>
      </c>
      <c r="V95" s="761"/>
    </row>
    <row r="96" spans="2:22" x14ac:dyDescent="0.25">
      <c r="B96" s="486">
        <v>1</v>
      </c>
      <c r="C96" s="487" t="s">
        <v>239</v>
      </c>
      <c r="D96" s="487" t="s">
        <v>84</v>
      </c>
      <c r="E96" s="1650">
        <v>18</v>
      </c>
      <c r="F96" s="826" t="s">
        <v>97</v>
      </c>
      <c r="G96" s="473">
        <v>5</v>
      </c>
      <c r="H96" s="473">
        <v>2</v>
      </c>
      <c r="I96" s="473">
        <v>2</v>
      </c>
      <c r="J96" s="487" t="s">
        <v>86</v>
      </c>
      <c r="K96" s="487" t="s">
        <v>87</v>
      </c>
      <c r="L96" s="2442" t="s">
        <v>65</v>
      </c>
      <c r="M96" s="1094"/>
      <c r="N96" s="2125"/>
      <c r="O96" s="2443"/>
      <c r="P96" s="2166">
        <f>SUM(P97:P98)</f>
        <v>4550000</v>
      </c>
      <c r="Q96" s="2483"/>
      <c r="R96" s="901"/>
      <c r="S96" s="902"/>
      <c r="T96" s="1318">
        <f>T97</f>
        <v>2023000</v>
      </c>
      <c r="U96" s="756"/>
      <c r="V96" s="761"/>
    </row>
    <row r="97" spans="2:22" x14ac:dyDescent="0.25">
      <c r="B97" s="510"/>
      <c r="C97" s="506"/>
      <c r="D97" s="506"/>
      <c r="E97" s="1911"/>
      <c r="F97" s="1911"/>
      <c r="G97" s="513"/>
      <c r="H97" s="513"/>
      <c r="I97" s="513"/>
      <c r="J97" s="506"/>
      <c r="K97" s="506"/>
      <c r="L97" s="502" t="s">
        <v>832</v>
      </c>
      <c r="M97" s="1105">
        <v>10000</v>
      </c>
      <c r="N97" s="499" t="s">
        <v>58</v>
      </c>
      <c r="O97" s="477">
        <v>350</v>
      </c>
      <c r="P97" s="1705">
        <f>O97*M97</f>
        <v>3500000</v>
      </c>
      <c r="Q97" s="806"/>
      <c r="R97" s="1083"/>
      <c r="S97" s="1095"/>
      <c r="T97" s="1210">
        <f>SUM(T98:T99)</f>
        <v>2023000</v>
      </c>
      <c r="U97" s="756">
        <f t="shared" ref="U97:U98" si="19">SUM(T97)-P97</f>
        <v>-1477000</v>
      </c>
      <c r="V97" s="761"/>
    </row>
    <row r="98" spans="2:22" x14ac:dyDescent="0.25">
      <c r="B98" s="510"/>
      <c r="C98" s="506"/>
      <c r="D98" s="506"/>
      <c r="E98" s="1911"/>
      <c r="F98" s="506"/>
      <c r="G98" s="513"/>
      <c r="H98" s="513"/>
      <c r="I98" s="513"/>
      <c r="J98" s="513"/>
      <c r="K98" s="506"/>
      <c r="L98" s="1087" t="s">
        <v>833</v>
      </c>
      <c r="M98" s="1106">
        <v>3000</v>
      </c>
      <c r="N98" s="901" t="s">
        <v>58</v>
      </c>
      <c r="O98" s="902">
        <v>350</v>
      </c>
      <c r="P98" s="1212">
        <f>O98*M98</f>
        <v>1050000</v>
      </c>
      <c r="Q98" s="2484">
        <v>5780</v>
      </c>
      <c r="R98" s="892" t="s">
        <v>58</v>
      </c>
      <c r="S98" s="893">
        <v>350</v>
      </c>
      <c r="T98" s="1318">
        <f>S98*Q98</f>
        <v>2023000</v>
      </c>
      <c r="U98" s="756">
        <f t="shared" si="19"/>
        <v>973000</v>
      </c>
      <c r="V98" s="761"/>
    </row>
    <row r="99" spans="2:22" x14ac:dyDescent="0.25">
      <c r="B99" s="486"/>
      <c r="C99" s="487"/>
      <c r="D99" s="487"/>
      <c r="E99" s="1932"/>
      <c r="F99" s="487"/>
      <c r="G99" s="489"/>
      <c r="H99" s="489"/>
      <c r="I99" s="489"/>
      <c r="J99" s="489"/>
      <c r="K99" s="487"/>
      <c r="L99" s="2445"/>
      <c r="M99" s="859"/>
      <c r="N99" s="499"/>
      <c r="O99" s="477"/>
      <c r="P99" s="548"/>
      <c r="Q99" s="2485"/>
      <c r="R99" s="901"/>
      <c r="S99" s="902"/>
      <c r="T99" s="1318"/>
      <c r="U99" s="756"/>
      <c r="V99" s="761"/>
    </row>
    <row r="100" spans="2:22" x14ac:dyDescent="0.25">
      <c r="B100" s="486">
        <v>1</v>
      </c>
      <c r="C100" s="487" t="s">
        <v>239</v>
      </c>
      <c r="D100" s="487" t="s">
        <v>84</v>
      </c>
      <c r="E100" s="1650">
        <v>18</v>
      </c>
      <c r="F100" s="826" t="s">
        <v>97</v>
      </c>
      <c r="G100" s="473">
        <v>5</v>
      </c>
      <c r="H100" s="473">
        <v>2</v>
      </c>
      <c r="I100" s="473">
        <v>2</v>
      </c>
      <c r="J100" s="487">
        <v>11</v>
      </c>
      <c r="K100" s="489"/>
      <c r="L100" s="2009" t="s">
        <v>187</v>
      </c>
      <c r="M100" s="850"/>
      <c r="N100" s="1914"/>
      <c r="O100" s="1915"/>
      <c r="P100" s="2031">
        <f>P101</f>
        <v>6622500</v>
      </c>
      <c r="Q100" s="810"/>
      <c r="R100" s="853"/>
      <c r="S100" s="854"/>
      <c r="T100" s="878">
        <f>T101</f>
        <v>4230000</v>
      </c>
      <c r="U100" s="756"/>
      <c r="V100" s="761"/>
    </row>
    <row r="101" spans="2:22" x14ac:dyDescent="0.25">
      <c r="B101" s="486">
        <v>1</v>
      </c>
      <c r="C101" s="487" t="s">
        <v>239</v>
      </c>
      <c r="D101" s="487" t="s">
        <v>84</v>
      </c>
      <c r="E101" s="1650">
        <v>18</v>
      </c>
      <c r="F101" s="826" t="s">
        <v>97</v>
      </c>
      <c r="G101" s="473">
        <v>5</v>
      </c>
      <c r="H101" s="473">
        <v>2</v>
      </c>
      <c r="I101" s="473">
        <v>2</v>
      </c>
      <c r="J101" s="487">
        <v>11</v>
      </c>
      <c r="K101" s="487" t="s">
        <v>101</v>
      </c>
      <c r="L101" s="2446" t="s">
        <v>188</v>
      </c>
      <c r="M101" s="1094"/>
      <c r="N101" s="2443"/>
      <c r="O101" s="2447"/>
      <c r="P101" s="2166">
        <f>SUM(P102:P107)</f>
        <v>6622500</v>
      </c>
      <c r="Q101" s="806"/>
      <c r="R101" s="1095"/>
      <c r="S101" s="1107"/>
      <c r="T101" s="1210">
        <f>SUM(T102:T105)</f>
        <v>4230000</v>
      </c>
      <c r="U101" s="756">
        <f t="shared" ref="U101:U110" si="20">SUM(T101)-P101</f>
        <v>-2392500</v>
      </c>
      <c r="V101" s="761"/>
    </row>
    <row r="102" spans="2:22" x14ac:dyDescent="0.25">
      <c r="B102" s="486"/>
      <c r="C102" s="487"/>
      <c r="D102" s="487"/>
      <c r="E102" s="1932"/>
      <c r="F102" s="1932"/>
      <c r="G102" s="489"/>
      <c r="H102" s="489"/>
      <c r="I102" s="489"/>
      <c r="J102" s="487"/>
      <c r="K102" s="487"/>
      <c r="L102" s="502" t="s">
        <v>834</v>
      </c>
      <c r="M102" s="859">
        <v>144</v>
      </c>
      <c r="N102" s="499" t="s">
        <v>151</v>
      </c>
      <c r="O102" s="2014">
        <v>15000</v>
      </c>
      <c r="P102" s="548">
        <f t="shared" ref="P102:P107" si="21">O102*M102</f>
        <v>2160000</v>
      </c>
      <c r="Q102" s="2480">
        <f>4*35</f>
        <v>140</v>
      </c>
      <c r="R102" s="892" t="s">
        <v>151</v>
      </c>
      <c r="S102" s="903">
        <v>15000</v>
      </c>
      <c r="T102" s="895">
        <f t="shared" ref="T102:T103" si="22">S102*Q102</f>
        <v>2100000</v>
      </c>
      <c r="U102" s="756">
        <f t="shared" si="20"/>
        <v>-60000</v>
      </c>
      <c r="V102" s="761"/>
    </row>
    <row r="103" spans="2:22" x14ac:dyDescent="0.25">
      <c r="B103" s="486"/>
      <c r="C103" s="487"/>
      <c r="D103" s="487"/>
      <c r="E103" s="1932"/>
      <c r="F103" s="1932"/>
      <c r="G103" s="489"/>
      <c r="H103" s="489"/>
      <c r="I103" s="489"/>
      <c r="J103" s="487"/>
      <c r="K103" s="487"/>
      <c r="L103" s="502" t="s">
        <v>835</v>
      </c>
      <c r="M103" s="859">
        <v>144</v>
      </c>
      <c r="N103" s="499" t="s">
        <v>151</v>
      </c>
      <c r="O103" s="2014">
        <v>7500</v>
      </c>
      <c r="P103" s="548">
        <f t="shared" si="21"/>
        <v>1080000</v>
      </c>
      <c r="Q103" s="2480">
        <v>144</v>
      </c>
      <c r="R103" s="892" t="s">
        <v>151</v>
      </c>
      <c r="S103" s="903">
        <v>7500</v>
      </c>
      <c r="T103" s="895">
        <f t="shared" si="22"/>
        <v>1080000</v>
      </c>
      <c r="U103" s="756">
        <f t="shared" si="20"/>
        <v>0</v>
      </c>
      <c r="V103" s="761"/>
    </row>
    <row r="104" spans="2:22" x14ac:dyDescent="0.25">
      <c r="B104" s="486"/>
      <c r="C104" s="487"/>
      <c r="D104" s="487"/>
      <c r="E104" s="1932"/>
      <c r="F104" s="487"/>
      <c r="G104" s="489"/>
      <c r="H104" s="489"/>
      <c r="I104" s="489"/>
      <c r="J104" s="489"/>
      <c r="K104" s="487"/>
      <c r="L104" s="2012" t="s">
        <v>836</v>
      </c>
      <c r="M104" s="859">
        <v>59</v>
      </c>
      <c r="N104" s="499" t="s">
        <v>151</v>
      </c>
      <c r="O104" s="2014">
        <v>15000</v>
      </c>
      <c r="P104" s="548">
        <f t="shared" si="21"/>
        <v>885000</v>
      </c>
      <c r="Q104" s="2480"/>
      <c r="R104" s="892"/>
      <c r="S104" s="903"/>
      <c r="T104" s="895"/>
      <c r="U104" s="756">
        <f t="shared" si="20"/>
        <v>-885000</v>
      </c>
      <c r="V104" s="761"/>
    </row>
    <row r="105" spans="2:22" x14ac:dyDescent="0.25">
      <c r="B105" s="486"/>
      <c r="C105" s="487"/>
      <c r="D105" s="487"/>
      <c r="E105" s="1932"/>
      <c r="F105" s="487"/>
      <c r="G105" s="489"/>
      <c r="H105" s="489"/>
      <c r="I105" s="489"/>
      <c r="J105" s="489"/>
      <c r="K105" s="487"/>
      <c r="L105" s="2473" t="s">
        <v>837</v>
      </c>
      <c r="M105" s="859">
        <f>M104</f>
        <v>59</v>
      </c>
      <c r="N105" s="499" t="s">
        <v>151</v>
      </c>
      <c r="O105" s="2014">
        <v>7500</v>
      </c>
      <c r="P105" s="548">
        <f t="shared" si="21"/>
        <v>442500</v>
      </c>
      <c r="Q105" s="2480">
        <f>4*35</f>
        <v>140</v>
      </c>
      <c r="R105" s="892" t="s">
        <v>151</v>
      </c>
      <c r="S105" s="903">
        <v>7500</v>
      </c>
      <c r="T105" s="895">
        <f t="shared" ref="T105" si="23">S105*Q105</f>
        <v>1050000</v>
      </c>
      <c r="U105" s="756">
        <f t="shared" si="20"/>
        <v>607500</v>
      </c>
      <c r="V105" s="761"/>
    </row>
    <row r="106" spans="2:22" x14ac:dyDescent="0.25">
      <c r="B106" s="486"/>
      <c r="C106" s="487"/>
      <c r="D106" s="487"/>
      <c r="E106" s="1932"/>
      <c r="F106" s="487"/>
      <c r="G106" s="489"/>
      <c r="H106" s="489"/>
      <c r="I106" s="489"/>
      <c r="J106" s="489"/>
      <c r="K106" s="487"/>
      <c r="L106" s="2012" t="s">
        <v>838</v>
      </c>
      <c r="M106" s="859">
        <v>62</v>
      </c>
      <c r="N106" s="499" t="s">
        <v>151</v>
      </c>
      <c r="O106" s="2014">
        <f>O104</f>
        <v>15000</v>
      </c>
      <c r="P106" s="548">
        <f t="shared" si="21"/>
        <v>930000</v>
      </c>
      <c r="Q106" s="2480"/>
      <c r="R106" s="892"/>
      <c r="S106" s="903"/>
      <c r="T106" s="895"/>
      <c r="U106" s="756">
        <f t="shared" si="20"/>
        <v>-930000</v>
      </c>
      <c r="V106" s="761"/>
    </row>
    <row r="107" spans="2:22" x14ac:dyDescent="0.25">
      <c r="B107" s="486"/>
      <c r="C107" s="487"/>
      <c r="D107" s="487"/>
      <c r="E107" s="1932"/>
      <c r="F107" s="487"/>
      <c r="G107" s="489"/>
      <c r="H107" s="489"/>
      <c r="I107" s="489"/>
      <c r="J107" s="489"/>
      <c r="K107" s="487"/>
      <c r="L107" s="2012" t="s">
        <v>839</v>
      </c>
      <c r="M107" s="859">
        <v>150</v>
      </c>
      <c r="N107" s="499" t="s">
        <v>151</v>
      </c>
      <c r="O107" s="2014">
        <v>7500</v>
      </c>
      <c r="P107" s="548">
        <f t="shared" si="21"/>
        <v>1125000</v>
      </c>
      <c r="Q107" s="2480"/>
      <c r="R107" s="892"/>
      <c r="S107" s="903"/>
      <c r="T107" s="895"/>
      <c r="U107" s="756">
        <f t="shared" si="20"/>
        <v>-1125000</v>
      </c>
      <c r="V107" s="761"/>
    </row>
    <row r="108" spans="2:22" x14ac:dyDescent="0.25">
      <c r="B108" s="486"/>
      <c r="C108" s="487"/>
      <c r="D108" s="487"/>
      <c r="E108" s="1932"/>
      <c r="F108" s="487"/>
      <c r="G108" s="489"/>
      <c r="H108" s="489"/>
      <c r="I108" s="489"/>
      <c r="J108" s="489"/>
      <c r="K108" s="487"/>
      <c r="L108" s="2473"/>
      <c r="M108" s="859"/>
      <c r="N108" s="499"/>
      <c r="O108" s="477"/>
      <c r="P108" s="548"/>
      <c r="Q108" s="2480"/>
      <c r="R108" s="892"/>
      <c r="S108" s="903"/>
      <c r="T108" s="895"/>
      <c r="U108" s="756"/>
      <c r="V108" s="761"/>
    </row>
    <row r="109" spans="2:22" x14ac:dyDescent="0.25">
      <c r="B109" s="486">
        <v>1</v>
      </c>
      <c r="C109" s="487" t="s">
        <v>239</v>
      </c>
      <c r="D109" s="487" t="s">
        <v>84</v>
      </c>
      <c r="E109" s="1650">
        <v>18</v>
      </c>
      <c r="F109" s="826" t="s">
        <v>97</v>
      </c>
      <c r="G109" s="473">
        <v>5</v>
      </c>
      <c r="H109" s="473">
        <v>2</v>
      </c>
      <c r="I109" s="473">
        <v>2</v>
      </c>
      <c r="J109" s="487">
        <v>14</v>
      </c>
      <c r="K109" s="489"/>
      <c r="L109" s="2474" t="s">
        <v>200</v>
      </c>
      <c r="M109" s="850"/>
      <c r="N109" s="2438"/>
      <c r="O109" s="1914"/>
      <c r="P109" s="2031">
        <f>P110</f>
        <v>6900000</v>
      </c>
      <c r="Q109" s="810"/>
      <c r="R109" s="1093"/>
      <c r="S109" s="853"/>
      <c r="T109" s="878">
        <f>T110</f>
        <v>6450000</v>
      </c>
      <c r="U109" s="756">
        <f t="shared" si="20"/>
        <v>-450000</v>
      </c>
      <c r="V109" s="761"/>
    </row>
    <row r="110" spans="2:22" x14ac:dyDescent="0.25">
      <c r="B110" s="486">
        <v>1</v>
      </c>
      <c r="C110" s="487" t="s">
        <v>239</v>
      </c>
      <c r="D110" s="487" t="s">
        <v>84</v>
      </c>
      <c r="E110" s="1650">
        <v>18</v>
      </c>
      <c r="F110" s="826" t="s">
        <v>97</v>
      </c>
      <c r="G110" s="473">
        <v>5</v>
      </c>
      <c r="H110" s="473">
        <v>2</v>
      </c>
      <c r="I110" s="473">
        <v>2</v>
      </c>
      <c r="J110" s="487">
        <v>14</v>
      </c>
      <c r="K110" s="487" t="s">
        <v>101</v>
      </c>
      <c r="L110" s="2439" t="s">
        <v>840</v>
      </c>
      <c r="M110" s="850"/>
      <c r="N110" s="1326"/>
      <c r="O110" s="1917"/>
      <c r="P110" s="551">
        <f>SUM(P111:P114)</f>
        <v>6900000</v>
      </c>
      <c r="Q110" s="810"/>
      <c r="R110" s="863"/>
      <c r="S110" s="851"/>
      <c r="T110" s="1595">
        <f>SUM(T111:T114)</f>
        <v>6450000</v>
      </c>
      <c r="U110" s="756">
        <f t="shared" si="20"/>
        <v>-450000</v>
      </c>
      <c r="V110" s="761"/>
    </row>
    <row r="111" spans="2:22" x14ac:dyDescent="0.25">
      <c r="B111" s="486"/>
      <c r="C111" s="487"/>
      <c r="D111" s="487"/>
      <c r="E111" s="1932"/>
      <c r="F111" s="1650"/>
      <c r="G111" s="489"/>
      <c r="H111" s="489"/>
      <c r="I111" s="489"/>
      <c r="J111" s="489"/>
      <c r="K111" s="487"/>
      <c r="L111" s="2475" t="s">
        <v>196</v>
      </c>
      <c r="M111" s="859">
        <v>27</v>
      </c>
      <c r="N111" s="1727" t="s">
        <v>841</v>
      </c>
      <c r="O111" s="2014">
        <v>150000</v>
      </c>
      <c r="P111" s="548">
        <f>O111*M111</f>
        <v>4050000</v>
      </c>
      <c r="Q111" s="2480">
        <v>27</v>
      </c>
      <c r="R111" s="1078" t="s">
        <v>841</v>
      </c>
      <c r="S111" s="903">
        <v>150000</v>
      </c>
      <c r="T111" s="895">
        <f>S111*Q111</f>
        <v>4050000</v>
      </c>
      <c r="U111" s="756"/>
      <c r="V111" s="761"/>
    </row>
    <row r="112" spans="2:22" x14ac:dyDescent="0.25">
      <c r="B112" s="486"/>
      <c r="C112" s="487"/>
      <c r="D112" s="487"/>
      <c r="E112" s="1932"/>
      <c r="F112" s="1650"/>
      <c r="G112" s="489"/>
      <c r="H112" s="489"/>
      <c r="I112" s="489"/>
      <c r="J112" s="489"/>
      <c r="K112" s="487"/>
      <c r="L112" s="2475" t="s">
        <v>197</v>
      </c>
      <c r="M112" s="859">
        <v>3</v>
      </c>
      <c r="N112" s="1727" t="s">
        <v>841</v>
      </c>
      <c r="O112" s="2014">
        <v>150000</v>
      </c>
      <c r="P112" s="548">
        <f>O112*M112</f>
        <v>450000</v>
      </c>
      <c r="Q112" s="2480"/>
      <c r="R112" s="1078"/>
      <c r="S112" s="903"/>
      <c r="T112" s="895">
        <f>S112*Q112</f>
        <v>0</v>
      </c>
      <c r="U112" s="756">
        <f t="shared" ref="U112:U114" si="24">SUM(T112)-P112</f>
        <v>-450000</v>
      </c>
      <c r="V112" s="761"/>
    </row>
    <row r="113" spans="2:23" x14ac:dyDescent="0.25">
      <c r="B113" s="486"/>
      <c r="C113" s="487"/>
      <c r="D113" s="487"/>
      <c r="E113" s="1932"/>
      <c r="F113" s="1650"/>
      <c r="G113" s="489"/>
      <c r="H113" s="489"/>
      <c r="I113" s="489"/>
      <c r="J113" s="489"/>
      <c r="K113" s="487"/>
      <c r="L113" s="2475" t="s">
        <v>198</v>
      </c>
      <c r="M113" s="859">
        <v>7</v>
      </c>
      <c r="N113" s="1727" t="s">
        <v>841</v>
      </c>
      <c r="O113" s="2014">
        <v>150000</v>
      </c>
      <c r="P113" s="548">
        <f>O113*M113</f>
        <v>1050000</v>
      </c>
      <c r="Q113" s="859">
        <v>7</v>
      </c>
      <c r="R113" s="1078" t="s">
        <v>841</v>
      </c>
      <c r="S113" s="903">
        <v>150000</v>
      </c>
      <c r="T113" s="895">
        <f>S113*Q113</f>
        <v>1050000</v>
      </c>
      <c r="U113" s="756">
        <f t="shared" si="24"/>
        <v>0</v>
      </c>
      <c r="V113" s="761"/>
    </row>
    <row r="114" spans="2:23" x14ac:dyDescent="0.25">
      <c r="B114" s="510"/>
      <c r="C114" s="506"/>
      <c r="D114" s="506"/>
      <c r="E114" s="1911"/>
      <c r="F114" s="2152"/>
      <c r="G114" s="513"/>
      <c r="H114" s="513"/>
      <c r="I114" s="513"/>
      <c r="J114" s="513"/>
      <c r="K114" s="506"/>
      <c r="L114" s="2475" t="s">
        <v>842</v>
      </c>
      <c r="M114" s="859">
        <v>9</v>
      </c>
      <c r="N114" s="1727" t="s">
        <v>841</v>
      </c>
      <c r="O114" s="2014">
        <v>150000</v>
      </c>
      <c r="P114" s="548">
        <f>O114*M114</f>
        <v>1350000</v>
      </c>
      <c r="Q114" s="859">
        <v>9</v>
      </c>
      <c r="R114" s="1078" t="s">
        <v>841</v>
      </c>
      <c r="S114" s="903">
        <v>150000</v>
      </c>
      <c r="T114" s="895">
        <f>S114*Q114</f>
        <v>1350000</v>
      </c>
      <c r="U114" s="756">
        <f t="shared" si="24"/>
        <v>0</v>
      </c>
      <c r="V114" s="761"/>
    </row>
    <row r="115" spans="2:23" x14ac:dyDescent="0.25">
      <c r="B115" s="1101"/>
      <c r="C115" s="1104"/>
      <c r="D115" s="1104"/>
      <c r="E115" s="1104"/>
      <c r="F115" s="1104"/>
      <c r="G115" s="1104"/>
      <c r="H115" s="664"/>
      <c r="I115" s="1110"/>
      <c r="J115" s="1111"/>
      <c r="K115" s="1102"/>
      <c r="L115" s="899"/>
      <c r="M115" s="1112"/>
      <c r="N115" s="863"/>
      <c r="O115" s="1113"/>
      <c r="P115" s="1114"/>
      <c r="Q115" s="1115"/>
      <c r="R115" s="1116"/>
      <c r="S115" s="1117"/>
      <c r="T115" s="1114"/>
      <c r="U115" s="1118"/>
      <c r="V115" s="600"/>
    </row>
    <row r="116" spans="2:23" ht="14.5" thickBot="1" x14ac:dyDescent="0.3">
      <c r="B116" s="2730" t="s">
        <v>15</v>
      </c>
      <c r="C116" s="2731"/>
      <c r="D116" s="2731"/>
      <c r="E116" s="2731"/>
      <c r="F116" s="2731"/>
      <c r="G116" s="2731"/>
      <c r="H116" s="2731"/>
      <c r="I116" s="2731"/>
      <c r="J116" s="2731"/>
      <c r="K116" s="2731"/>
      <c r="L116" s="2731"/>
      <c r="M116" s="2731"/>
      <c r="N116" s="2731"/>
      <c r="O116" s="2731"/>
      <c r="P116" s="436">
        <f>P29</f>
        <v>54211380</v>
      </c>
      <c r="Q116" s="2915"/>
      <c r="R116" s="2916"/>
      <c r="S116" s="2917"/>
      <c r="T116" s="1605">
        <f>T29</f>
        <v>47211380</v>
      </c>
      <c r="U116" s="935">
        <f>SUM(U28:U114)</f>
        <v>-38417500</v>
      </c>
      <c r="V116" s="957">
        <f>U116/P116*100</f>
        <v>-70.866117040370497</v>
      </c>
    </row>
    <row r="117" spans="2:23" ht="13" thickTop="1" x14ac:dyDescent="0.25">
      <c r="B117" s="2918"/>
      <c r="C117" s="2919"/>
      <c r="D117" s="2919"/>
      <c r="E117" s="2919"/>
      <c r="F117" s="2919"/>
      <c r="G117" s="2919"/>
      <c r="H117" s="2919"/>
      <c r="I117" s="2919"/>
      <c r="J117" s="2919"/>
      <c r="K117" s="2919"/>
      <c r="L117" s="2919"/>
      <c r="M117" s="2919"/>
      <c r="N117" s="2919"/>
      <c r="O117" s="2919"/>
      <c r="P117" s="2919"/>
      <c r="Q117" s="2919"/>
      <c r="R117" s="2919"/>
      <c r="S117" s="2919"/>
      <c r="T117" s="2919"/>
      <c r="U117" s="2919"/>
      <c r="V117" s="2920"/>
    </row>
    <row r="118" spans="2:23" ht="12.75" customHeight="1" x14ac:dyDescent="0.25">
      <c r="B118" s="466"/>
      <c r="C118" s="1583"/>
      <c r="D118" s="1583"/>
      <c r="E118" s="1583"/>
      <c r="F118" s="1583"/>
      <c r="G118" s="1583"/>
      <c r="H118" s="1583"/>
      <c r="I118" s="1583"/>
      <c r="J118" s="1583"/>
      <c r="K118" s="1583"/>
      <c r="L118" s="396"/>
      <c r="M118" s="344"/>
      <c r="N118" s="344"/>
      <c r="O118" s="344"/>
      <c r="P118" s="344"/>
      <c r="Q118" s="1583"/>
      <c r="R118" s="344"/>
      <c r="S118" s="2921" t="str">
        <f>'PPID&amp;Propaganda'!S106</f>
        <v>Banda Aceh,               2020</v>
      </c>
      <c r="T118" s="2921"/>
      <c r="U118" s="2921"/>
      <c r="V118" s="936"/>
      <c r="W118" s="100"/>
    </row>
    <row r="119" spans="2:23" x14ac:dyDescent="0.25">
      <c r="B119" s="466"/>
      <c r="C119" s="1583"/>
      <c r="D119" s="1583"/>
      <c r="E119" s="1583"/>
      <c r="F119" s="1583"/>
      <c r="G119" s="1583"/>
      <c r="H119" s="1583"/>
      <c r="I119" s="1583"/>
      <c r="J119" s="1583"/>
      <c r="K119" s="1583"/>
      <c r="L119" s="1606" t="str">
        <f>'PPID&amp;Propaganda'!L107</f>
        <v>Mengesahkan,</v>
      </c>
      <c r="M119" s="344"/>
      <c r="N119" s="344"/>
      <c r="O119" s="344"/>
      <c r="P119" s="344"/>
      <c r="Q119" s="1583"/>
      <c r="R119" s="344"/>
      <c r="S119" s="2922" t="str">
        <f>'Desiminasi Info'!S96:U96</f>
        <v>Pengguna Anggaran</v>
      </c>
      <c r="T119" s="2922"/>
      <c r="U119" s="2922"/>
      <c r="V119" s="397"/>
      <c r="W119" s="22"/>
    </row>
    <row r="120" spans="2:23" ht="12.75" customHeight="1" x14ac:dyDescent="0.25">
      <c r="B120" s="466"/>
      <c r="C120" s="1583"/>
      <c r="D120" s="1583"/>
      <c r="E120" s="1583"/>
      <c r="F120" s="1583"/>
      <c r="G120" s="1583"/>
      <c r="H120" s="1583"/>
      <c r="I120" s="1583"/>
      <c r="J120" s="1583"/>
      <c r="K120" s="1583"/>
      <c r="L120" s="1606" t="str">
        <f>'PPID&amp;Propaganda'!L108</f>
        <v>Pejabat Pengelola Keuangan Daerah</v>
      </c>
      <c r="M120" s="344"/>
      <c r="N120" s="344"/>
      <c r="O120" s="344"/>
      <c r="P120" s="344"/>
      <c r="Q120" s="1583"/>
      <c r="R120" s="344"/>
      <c r="S120" s="2922" t="str">
        <f>'Desiminasi Info'!S97:U97</f>
        <v xml:space="preserve"> Satuan Kerja Perangkat Daerah </v>
      </c>
      <c r="T120" s="2922"/>
      <c r="U120" s="2922"/>
      <c r="V120" s="397"/>
      <c r="W120" s="22"/>
    </row>
    <row r="121" spans="2:23" x14ac:dyDescent="0.25">
      <c r="B121" s="466"/>
      <c r="C121" s="1583"/>
      <c r="D121" s="1583"/>
      <c r="E121" s="1583"/>
      <c r="F121" s="1583"/>
      <c r="G121" s="1583"/>
      <c r="H121" s="1583"/>
      <c r="I121" s="1583"/>
      <c r="J121" s="1583"/>
      <c r="K121" s="1583"/>
      <c r="L121" s="394"/>
      <c r="M121" s="344"/>
      <c r="N121" s="344"/>
      <c r="O121" s="344"/>
      <c r="P121" s="344"/>
      <c r="Q121" s="1583"/>
      <c r="R121" s="344"/>
      <c r="S121" s="937"/>
      <c r="T121" s="938"/>
      <c r="U121" s="938"/>
      <c r="V121" s="939"/>
      <c r="W121" s="102"/>
    </row>
    <row r="122" spans="2:23" x14ac:dyDescent="0.25">
      <c r="B122" s="466"/>
      <c r="C122" s="1583"/>
      <c r="D122" s="1583"/>
      <c r="E122" s="1583"/>
      <c r="F122" s="1583"/>
      <c r="G122" s="1583"/>
      <c r="H122" s="1583"/>
      <c r="I122" s="1583"/>
      <c r="J122" s="1583"/>
      <c r="K122" s="1583"/>
      <c r="L122" s="394"/>
      <c r="M122" s="344"/>
      <c r="N122" s="344"/>
      <c r="O122" s="344"/>
      <c r="P122" s="344"/>
      <c r="Q122" s="1583"/>
      <c r="R122" s="344"/>
      <c r="S122" s="937"/>
      <c r="T122" s="937"/>
      <c r="U122" s="937"/>
      <c r="V122" s="940"/>
      <c r="W122" s="103"/>
    </row>
    <row r="123" spans="2:23" x14ac:dyDescent="0.25">
      <c r="B123" s="466"/>
      <c r="C123" s="1583"/>
      <c r="D123" s="1583"/>
      <c r="E123" s="1583"/>
      <c r="F123" s="1583"/>
      <c r="G123" s="1583"/>
      <c r="H123" s="1583"/>
      <c r="I123" s="1583"/>
      <c r="J123" s="1583"/>
      <c r="K123" s="1583"/>
      <c r="L123" s="941"/>
      <c r="M123" s="344"/>
      <c r="N123" s="344"/>
      <c r="O123" s="344"/>
      <c r="P123" s="344"/>
      <c r="Q123" s="1583"/>
      <c r="R123" s="344"/>
      <c r="S123" s="937"/>
      <c r="T123" s="938"/>
      <c r="U123" s="938"/>
      <c r="V123" s="939"/>
      <c r="W123" s="102"/>
    </row>
    <row r="124" spans="2:23" ht="14" x14ac:dyDescent="0.25">
      <c r="B124" s="466"/>
      <c r="C124" s="1583"/>
      <c r="D124" s="1583"/>
      <c r="E124" s="1583"/>
      <c r="F124" s="1583"/>
      <c r="G124" s="1583"/>
      <c r="H124" s="1583"/>
      <c r="I124" s="1583"/>
      <c r="J124" s="1583"/>
      <c r="K124" s="1583"/>
      <c r="L124" s="942" t="str">
        <f>'PPID&amp;Propaganda'!L112</f>
        <v>M. Iqbal Rokan, S.STP.</v>
      </c>
      <c r="M124" s="344"/>
      <c r="N124" s="344"/>
      <c r="O124" s="344"/>
      <c r="P124" s="344"/>
      <c r="Q124" s="1583"/>
      <c r="R124" s="344"/>
      <c r="S124" s="2923" t="str">
        <f>'PPID&amp;Propaganda'!S112</f>
        <v>Bustami, SH</v>
      </c>
      <c r="T124" s="2923"/>
      <c r="U124" s="2923"/>
      <c r="V124" s="400"/>
      <c r="W124" s="104"/>
    </row>
    <row r="125" spans="2:23" x14ac:dyDescent="0.25">
      <c r="B125" s="466"/>
      <c r="C125" s="1583"/>
      <c r="D125" s="1583"/>
      <c r="E125" s="1583"/>
      <c r="F125" s="1583"/>
      <c r="G125" s="1583"/>
      <c r="H125" s="1583"/>
      <c r="I125" s="1583"/>
      <c r="J125" s="1583"/>
      <c r="K125" s="1583"/>
      <c r="L125" s="1606" t="str">
        <f>'PPID&amp;Propaganda'!L113</f>
        <v>Nip. 19780505 199810 1 001</v>
      </c>
      <c r="M125" s="344"/>
      <c r="N125" s="344"/>
      <c r="O125" s="344"/>
      <c r="P125" s="344"/>
      <c r="Q125" s="1583"/>
      <c r="R125" s="344"/>
      <c r="S125" s="2922" t="str">
        <f>'PPID&amp;Propaganda'!S113</f>
        <v>Pembina Utama Muda / Nip. 196308241987031004</v>
      </c>
      <c r="T125" s="2922"/>
      <c r="U125" s="2922"/>
      <c r="V125" s="397"/>
      <c r="W125" s="22"/>
    </row>
    <row r="126" spans="2:23" x14ac:dyDescent="0.25">
      <c r="B126" s="466"/>
      <c r="C126" s="1583"/>
      <c r="D126" s="1583"/>
      <c r="E126" s="1583"/>
      <c r="F126" s="1583"/>
      <c r="G126" s="1583"/>
      <c r="H126" s="1583"/>
      <c r="I126" s="1583"/>
      <c r="J126" s="1583"/>
      <c r="K126" s="1583"/>
      <c r="L126" s="1606"/>
      <c r="M126" s="344"/>
      <c r="N126" s="344"/>
      <c r="O126" s="344"/>
      <c r="P126" s="344"/>
      <c r="Q126" s="1583"/>
      <c r="R126" s="344"/>
      <c r="S126" s="1606"/>
      <c r="T126" s="1606"/>
      <c r="U126" s="1606"/>
      <c r="V126" s="943"/>
      <c r="W126" s="21"/>
    </row>
    <row r="127" spans="2:23" ht="14.25" customHeight="1" x14ac:dyDescent="0.25">
      <c r="B127" s="2705" t="s">
        <v>286</v>
      </c>
      <c r="C127" s="2706"/>
      <c r="D127" s="2706"/>
      <c r="E127" s="2706"/>
      <c r="F127" s="2706"/>
      <c r="G127" s="2706"/>
      <c r="H127" s="2706"/>
      <c r="I127" s="2706"/>
      <c r="J127" s="2706"/>
      <c r="K127" s="2706"/>
      <c r="L127" s="2706"/>
      <c r="M127" s="2707" t="s">
        <v>145</v>
      </c>
      <c r="N127" s="2708"/>
      <c r="O127" s="2708"/>
      <c r="P127" s="2708"/>
      <c r="Q127" s="2708"/>
      <c r="R127" s="2708"/>
      <c r="S127" s="2708"/>
      <c r="T127" s="2708"/>
      <c r="U127" s="2708"/>
      <c r="V127" s="2709"/>
    </row>
    <row r="128" spans="2:23" ht="14.25" customHeight="1" x14ac:dyDescent="0.25">
      <c r="B128" s="2893"/>
      <c r="C128" s="2894"/>
      <c r="D128" s="2894"/>
      <c r="E128" s="2894"/>
      <c r="F128" s="2894"/>
      <c r="G128" s="2894"/>
      <c r="H128" s="2894"/>
      <c r="I128" s="2894"/>
      <c r="J128" s="2894"/>
      <c r="K128" s="2894"/>
      <c r="L128" s="2895"/>
      <c r="M128" s="1599" t="s">
        <v>142</v>
      </c>
      <c r="N128" s="2747"/>
      <c r="O128" s="2747"/>
      <c r="P128" s="2747"/>
      <c r="Q128" s="2746" t="s">
        <v>143</v>
      </c>
      <c r="R128" s="2746"/>
      <c r="S128" s="2746"/>
      <c r="T128" s="1597" t="s">
        <v>144</v>
      </c>
      <c r="U128" s="2746" t="s">
        <v>146</v>
      </c>
      <c r="V128" s="2748"/>
    </row>
    <row r="129" spans="2:22" ht="14.25" customHeight="1" x14ac:dyDescent="0.25">
      <c r="B129" s="2907" t="s">
        <v>293</v>
      </c>
      <c r="C129" s="2908"/>
      <c r="D129" s="2908"/>
      <c r="E129" s="2908"/>
      <c r="F129" s="2908"/>
      <c r="G129" s="2908"/>
      <c r="H129" s="2908"/>
      <c r="I129" s="2908"/>
      <c r="J129" s="2908"/>
      <c r="K129" s="2908"/>
      <c r="L129" s="944">
        <v>0</v>
      </c>
      <c r="M129" s="945">
        <v>1</v>
      </c>
      <c r="N129" s="2896" t="str">
        <f>'PPID&amp;Propaganda'!N117</f>
        <v>Weri, SE. MA</v>
      </c>
      <c r="O129" s="2897"/>
      <c r="P129" s="2897"/>
      <c r="Q129" s="2898" t="str">
        <f>'PPID&amp;Propaganda'!Q117</f>
        <v>19640525 198903 1 026</v>
      </c>
      <c r="R129" s="2563"/>
      <c r="S129" s="2564"/>
      <c r="T129" s="946" t="s">
        <v>302</v>
      </c>
      <c r="U129" s="947" t="s">
        <v>287</v>
      </c>
      <c r="V129" s="451"/>
    </row>
    <row r="130" spans="2:22" ht="14" x14ac:dyDescent="0.25">
      <c r="B130" s="2907" t="s">
        <v>294</v>
      </c>
      <c r="C130" s="2908"/>
      <c r="D130" s="2908"/>
      <c r="E130" s="2908"/>
      <c r="F130" s="2908"/>
      <c r="G130" s="2908"/>
      <c r="H130" s="2908"/>
      <c r="I130" s="2908"/>
      <c r="J130" s="2908"/>
      <c r="K130" s="2908"/>
      <c r="L130" s="944">
        <v>0</v>
      </c>
      <c r="M130" s="945">
        <v>2</v>
      </c>
      <c r="N130" s="2909" t="str">
        <f>'PPID&amp;Propaganda'!N118</f>
        <v>Azmi, SH</v>
      </c>
      <c r="O130" s="2706"/>
      <c r="P130" s="2706"/>
      <c r="Q130" s="2898" t="str">
        <f>'PPID&amp;Propaganda'!Q118</f>
        <v>19680824 199903 1 004</v>
      </c>
      <c r="R130" s="2563"/>
      <c r="S130" s="2564"/>
      <c r="T130" s="946" t="s">
        <v>303</v>
      </c>
      <c r="U130" s="450"/>
      <c r="V130" s="948" t="s">
        <v>128</v>
      </c>
    </row>
    <row r="131" spans="2:22" ht="14" x14ac:dyDescent="0.25">
      <c r="B131" s="2907" t="s">
        <v>295</v>
      </c>
      <c r="C131" s="2908"/>
      <c r="D131" s="2908"/>
      <c r="E131" s="2908"/>
      <c r="F131" s="2908"/>
      <c r="G131" s="2908"/>
      <c r="H131" s="2908"/>
      <c r="I131" s="2908"/>
      <c r="J131" s="2908"/>
      <c r="K131" s="2908"/>
      <c r="L131" s="944">
        <v>0</v>
      </c>
      <c r="M131" s="949">
        <v>3</v>
      </c>
      <c r="N131" s="2909" t="str">
        <f>'PPID&amp;Propaganda'!N119</f>
        <v>Muhammad Syaifuddin Ambia, ST, MT</v>
      </c>
      <c r="O131" s="2706"/>
      <c r="P131" s="2706"/>
      <c r="Q131" s="2898" t="str">
        <f>'PPID&amp;Propaganda'!Q119</f>
        <v>19741010 200604 1 003</v>
      </c>
      <c r="R131" s="2563"/>
      <c r="S131" s="2564"/>
      <c r="T131" s="946" t="s">
        <v>304</v>
      </c>
      <c r="U131" s="950" t="s">
        <v>292</v>
      </c>
      <c r="V131" s="451"/>
    </row>
    <row r="132" spans="2:22" ht="15" customHeight="1" x14ac:dyDescent="0.25">
      <c r="B132" s="2907" t="s">
        <v>296</v>
      </c>
      <c r="C132" s="2908"/>
      <c r="D132" s="2908"/>
      <c r="E132" s="2908"/>
      <c r="F132" s="2908"/>
      <c r="G132" s="2908"/>
      <c r="H132" s="2908"/>
      <c r="I132" s="2908"/>
      <c r="J132" s="2908"/>
      <c r="K132" s="2908"/>
      <c r="L132" s="944">
        <v>0</v>
      </c>
      <c r="M132" s="945">
        <v>4</v>
      </c>
      <c r="N132" s="2909" t="str">
        <f>'PPID&amp;Propaganda'!N120</f>
        <v>Basri, SE, M.Si</v>
      </c>
      <c r="O132" s="2706"/>
      <c r="P132" s="2706"/>
      <c r="Q132" s="2898" t="str">
        <f>'PPID&amp;Propaganda'!Q120</f>
        <v>19691213 199403 1 002</v>
      </c>
      <c r="R132" s="2563"/>
      <c r="S132" s="2564"/>
      <c r="T132" s="946" t="s">
        <v>305</v>
      </c>
      <c r="U132" s="450"/>
      <c r="V132" s="948" t="s">
        <v>288</v>
      </c>
    </row>
    <row r="133" spans="2:22" ht="14" x14ac:dyDescent="0.25">
      <c r="B133" s="2907" t="s">
        <v>297</v>
      </c>
      <c r="C133" s="2908"/>
      <c r="D133" s="2908"/>
      <c r="E133" s="2908"/>
      <c r="F133" s="2908"/>
      <c r="G133" s="2908"/>
      <c r="H133" s="2908"/>
      <c r="I133" s="2908"/>
      <c r="J133" s="2908"/>
      <c r="K133" s="2908"/>
      <c r="L133" s="951">
        <f>SUM(L129:L132)</f>
        <v>0</v>
      </c>
      <c r="M133" s="952">
        <v>5</v>
      </c>
      <c r="N133" s="2909" t="str">
        <f>'PPID&amp;Propaganda'!N121</f>
        <v>Dewi Shinta Reza, SE. Ak</v>
      </c>
      <c r="O133" s="2706"/>
      <c r="P133" s="2706"/>
      <c r="Q133" s="2898" t="str">
        <f>'PPID&amp;Propaganda'!Q121</f>
        <v>19750630 200212 2 003</v>
      </c>
      <c r="R133" s="2563"/>
      <c r="S133" s="2564"/>
      <c r="T133" s="946" t="s">
        <v>306</v>
      </c>
      <c r="U133" s="950" t="s">
        <v>289</v>
      </c>
      <c r="V133" s="451"/>
    </row>
    <row r="134" spans="2:22" ht="13.5" customHeight="1" x14ac:dyDescent="0.25">
      <c r="B134" s="2893"/>
      <c r="C134" s="2894"/>
      <c r="D134" s="2894"/>
      <c r="E134" s="2894"/>
      <c r="F134" s="2894"/>
      <c r="G134" s="2894"/>
      <c r="H134" s="2894"/>
      <c r="I134" s="2894"/>
      <c r="J134" s="2894"/>
      <c r="K134" s="2894"/>
      <c r="L134" s="2895"/>
      <c r="M134" s="952">
        <v>6</v>
      </c>
      <c r="N134" s="2896" t="str">
        <f>'PPID&amp;Propaganda'!N122</f>
        <v>Harisman, S.STP, M.Ec.Dev</v>
      </c>
      <c r="O134" s="2897"/>
      <c r="P134" s="2897"/>
      <c r="Q134" s="2898" t="str">
        <f>'PPID&amp;Propaganda'!Q122</f>
        <v>19830101 200112 1 003</v>
      </c>
      <c r="R134" s="2563"/>
      <c r="S134" s="2564"/>
      <c r="T134" s="946" t="s">
        <v>307</v>
      </c>
      <c r="U134" s="450"/>
      <c r="V134" s="948" t="s">
        <v>290</v>
      </c>
    </row>
    <row r="135" spans="2:22" ht="14.5" thickBot="1" x14ac:dyDescent="0.3">
      <c r="B135" s="2899"/>
      <c r="C135" s="2900"/>
      <c r="D135" s="2900"/>
      <c r="E135" s="2900"/>
      <c r="F135" s="2900"/>
      <c r="G135" s="2900"/>
      <c r="H135" s="2900"/>
      <c r="I135" s="2900"/>
      <c r="J135" s="2900"/>
      <c r="K135" s="2900"/>
      <c r="L135" s="2901"/>
      <c r="M135" s="953">
        <v>7</v>
      </c>
      <c r="N135" s="2902" t="str">
        <f>'PPID&amp;Propaganda'!N123</f>
        <v>Alriandi, S.STP, M.Si</v>
      </c>
      <c r="O135" s="2903"/>
      <c r="P135" s="2903"/>
      <c r="Q135" s="2904" t="str">
        <f>'PPID&amp;Propaganda'!Q123</f>
        <v>19830308 200112 1 001</v>
      </c>
      <c r="R135" s="2905"/>
      <c r="S135" s="2906"/>
      <c r="T135" s="954" t="s">
        <v>308</v>
      </c>
      <c r="U135" s="955" t="s">
        <v>291</v>
      </c>
      <c r="V135" s="956"/>
    </row>
    <row r="136" spans="2:22" ht="13" thickTop="1" x14ac:dyDescent="0.25">
      <c r="B136" s="1596"/>
      <c r="C136" s="1596"/>
      <c r="D136" s="1596"/>
      <c r="E136" s="1596"/>
      <c r="F136" s="1596"/>
      <c r="G136" s="1596"/>
      <c r="H136" s="1596"/>
      <c r="I136" s="1596"/>
      <c r="J136" s="1596"/>
      <c r="K136" s="1596"/>
      <c r="L136" s="1596"/>
      <c r="M136" s="1596"/>
      <c r="N136" s="1596"/>
      <c r="O136" s="1596"/>
      <c r="P136" s="1596"/>
    </row>
    <row r="137" spans="2:22" x14ac:dyDescent="0.25">
      <c r="B137" s="1596"/>
      <c r="C137" s="1596"/>
      <c r="D137" s="1596"/>
      <c r="E137" s="1596"/>
      <c r="F137" s="1596"/>
      <c r="G137" s="1596"/>
      <c r="H137" s="1596"/>
      <c r="I137" s="1596"/>
      <c r="J137" s="1596"/>
      <c r="K137" s="1596"/>
      <c r="L137" s="1596"/>
      <c r="M137" s="1596"/>
      <c r="N137" s="1596"/>
      <c r="O137" s="1596"/>
      <c r="P137" s="1596"/>
    </row>
    <row r="138" spans="2:22" x14ac:dyDescent="0.25">
      <c r="B138" s="1596"/>
      <c r="C138" s="1596"/>
      <c r="D138" s="1596"/>
      <c r="E138" s="1596"/>
      <c r="F138" s="1596"/>
      <c r="G138" s="1596"/>
      <c r="H138" s="1596"/>
      <c r="I138" s="1596"/>
      <c r="J138" s="1596"/>
      <c r="K138" s="1596"/>
      <c r="L138" s="1596"/>
      <c r="M138" s="1596"/>
      <c r="N138" s="1596"/>
      <c r="O138" s="1596"/>
      <c r="P138" s="1596"/>
    </row>
    <row r="139" spans="2:22" x14ac:dyDescent="0.25">
      <c r="B139" s="1596"/>
      <c r="C139" s="1596"/>
      <c r="D139" s="1596"/>
      <c r="E139" s="1596"/>
      <c r="F139" s="1596"/>
      <c r="G139" s="1596"/>
      <c r="H139" s="1596"/>
      <c r="I139" s="1596"/>
      <c r="J139" s="1596"/>
      <c r="K139" s="1596"/>
      <c r="L139" s="1596"/>
      <c r="M139" s="1596"/>
      <c r="N139" s="1596"/>
      <c r="O139" s="1596"/>
      <c r="P139" s="1596"/>
    </row>
    <row r="140" spans="2:22" x14ac:dyDescent="0.25">
      <c r="B140" s="1596"/>
      <c r="C140" s="1596"/>
      <c r="D140" s="1596"/>
      <c r="E140" s="1596"/>
      <c r="F140" s="1596"/>
      <c r="G140" s="1596"/>
      <c r="H140" s="1596"/>
      <c r="I140" s="1596"/>
      <c r="J140" s="1596"/>
      <c r="K140" s="1596"/>
      <c r="L140" s="1596"/>
      <c r="M140" s="1596"/>
      <c r="N140" s="1596"/>
      <c r="O140" s="1596"/>
      <c r="P140" s="1596"/>
    </row>
    <row r="141" spans="2:22" x14ac:dyDescent="0.25">
      <c r="B141" s="1596"/>
      <c r="C141" s="1596"/>
      <c r="D141" s="1596"/>
      <c r="E141" s="1596"/>
      <c r="F141" s="1596"/>
      <c r="G141" s="1596"/>
      <c r="H141" s="1596"/>
      <c r="I141" s="1596"/>
      <c r="J141" s="1596"/>
      <c r="K141" s="1596"/>
      <c r="L141" s="1596"/>
      <c r="M141" s="1596"/>
      <c r="N141" s="1596"/>
      <c r="O141" s="1596"/>
      <c r="P141" s="1596"/>
    </row>
    <row r="142" spans="2:22" x14ac:dyDescent="0.25">
      <c r="B142" s="1596"/>
      <c r="C142" s="1596"/>
      <c r="D142" s="1596"/>
      <c r="E142" s="1596"/>
      <c r="F142" s="1596"/>
      <c r="G142" s="1596"/>
      <c r="H142" s="1596"/>
      <c r="I142" s="1596"/>
      <c r="J142" s="1596"/>
      <c r="K142" s="1596"/>
      <c r="L142" s="1596"/>
      <c r="M142" s="1596"/>
      <c r="N142" s="1596"/>
      <c r="O142" s="1596"/>
      <c r="P142" s="1596"/>
    </row>
    <row r="143" spans="2:22" x14ac:dyDescent="0.25">
      <c r="B143" s="1596"/>
      <c r="C143" s="1596"/>
      <c r="D143" s="1596"/>
      <c r="E143" s="1596"/>
      <c r="F143" s="1596"/>
      <c r="G143" s="1596"/>
      <c r="H143" s="1596"/>
      <c r="I143" s="1596"/>
      <c r="J143" s="1596"/>
      <c r="K143" s="1596"/>
      <c r="L143" s="1596"/>
      <c r="M143" s="1596"/>
      <c r="N143" s="1596"/>
      <c r="O143" s="1596"/>
      <c r="P143" s="1596"/>
    </row>
    <row r="144" spans="2:22" x14ac:dyDescent="0.25">
      <c r="B144" s="1596"/>
      <c r="C144" s="1596"/>
      <c r="D144" s="1596"/>
      <c r="E144" s="1596"/>
      <c r="F144" s="1596"/>
      <c r="G144" s="1596"/>
      <c r="H144" s="1596"/>
      <c r="I144" s="1596"/>
      <c r="J144" s="1596"/>
      <c r="K144" s="1596"/>
      <c r="L144" s="1596"/>
      <c r="M144" s="1596"/>
      <c r="N144" s="1596"/>
      <c r="O144" s="1596"/>
      <c r="P144" s="1596"/>
    </row>
    <row r="145" spans="2:16" x14ac:dyDescent="0.25">
      <c r="B145" s="1596"/>
      <c r="C145" s="1596"/>
      <c r="D145" s="1596"/>
      <c r="E145" s="1596"/>
      <c r="F145" s="1596"/>
      <c r="G145" s="1596"/>
      <c r="H145" s="1596"/>
      <c r="I145" s="1596"/>
      <c r="J145" s="1596"/>
      <c r="K145" s="1596"/>
      <c r="L145" s="1596"/>
      <c r="M145" s="1596"/>
      <c r="N145" s="1596"/>
      <c r="O145" s="1596"/>
      <c r="P145" s="1596"/>
    </row>
    <row r="146" spans="2:16" x14ac:dyDescent="0.25">
      <c r="B146" s="1596"/>
      <c r="C146" s="1596"/>
      <c r="D146" s="1596"/>
      <c r="E146" s="1596"/>
      <c r="F146" s="1596"/>
      <c r="G146" s="1596"/>
      <c r="H146" s="1596"/>
      <c r="I146" s="1596"/>
      <c r="J146" s="1596"/>
      <c r="K146" s="1596"/>
      <c r="L146" s="1596"/>
      <c r="M146" s="1596"/>
      <c r="N146" s="1596"/>
      <c r="O146" s="1596"/>
      <c r="P146" s="1596"/>
    </row>
    <row r="147" spans="2:16" x14ac:dyDescent="0.25">
      <c r="B147" s="1596"/>
      <c r="C147" s="1596"/>
      <c r="D147" s="1596"/>
      <c r="E147" s="1596"/>
      <c r="F147" s="1596"/>
      <c r="G147" s="1596"/>
      <c r="H147" s="1596"/>
      <c r="I147" s="1596"/>
      <c r="J147" s="1596"/>
      <c r="K147" s="1596"/>
      <c r="L147" s="1596"/>
      <c r="M147" s="1596"/>
      <c r="N147" s="1596"/>
      <c r="O147" s="1596"/>
      <c r="P147" s="1596"/>
    </row>
    <row r="148" spans="2:16" x14ac:dyDescent="0.25">
      <c r="B148" s="1596"/>
      <c r="C148" s="1596"/>
      <c r="D148" s="1596"/>
      <c r="E148" s="1596"/>
      <c r="F148" s="1596"/>
      <c r="G148" s="1596"/>
      <c r="H148" s="1596"/>
      <c r="I148" s="1596"/>
      <c r="J148" s="1596"/>
      <c r="K148" s="1596"/>
      <c r="L148" s="1596"/>
      <c r="M148" s="1596"/>
      <c r="N148" s="1596"/>
      <c r="O148" s="1596"/>
      <c r="P148" s="1596"/>
    </row>
    <row r="149" spans="2:16" x14ac:dyDescent="0.25">
      <c r="B149" s="1596"/>
      <c r="C149" s="1596"/>
      <c r="D149" s="1596"/>
      <c r="E149" s="1596"/>
      <c r="F149" s="1596"/>
      <c r="G149" s="1596"/>
      <c r="H149" s="1596"/>
      <c r="I149" s="1596"/>
      <c r="J149" s="1596"/>
      <c r="K149" s="1596"/>
      <c r="L149" s="1596"/>
      <c r="M149" s="1596"/>
      <c r="N149" s="1596"/>
      <c r="O149" s="1596"/>
      <c r="P149" s="1596"/>
    </row>
    <row r="150" spans="2:16" x14ac:dyDescent="0.25">
      <c r="B150" s="1596"/>
      <c r="C150" s="1596"/>
      <c r="D150" s="1596"/>
      <c r="E150" s="1596"/>
      <c r="F150" s="1596"/>
      <c r="G150" s="1596"/>
      <c r="H150" s="1596"/>
      <c r="I150" s="1596"/>
      <c r="J150" s="1596"/>
      <c r="K150" s="1596"/>
      <c r="L150" s="1596"/>
      <c r="M150" s="1596"/>
      <c r="N150" s="1596"/>
      <c r="O150" s="1596"/>
      <c r="P150" s="1596"/>
    </row>
    <row r="151" spans="2:16" x14ac:dyDescent="0.25">
      <c r="B151" s="1596"/>
      <c r="C151" s="1596"/>
      <c r="D151" s="1596"/>
      <c r="E151" s="1596"/>
      <c r="F151" s="1596"/>
      <c r="G151" s="1596"/>
      <c r="H151" s="1596"/>
      <c r="I151" s="1596"/>
      <c r="J151" s="1596"/>
      <c r="K151" s="1596"/>
      <c r="L151" s="1596"/>
      <c r="M151" s="1596"/>
      <c r="N151" s="1596"/>
      <c r="O151" s="1596"/>
      <c r="P151" s="1596"/>
    </row>
    <row r="152" spans="2:16" x14ac:dyDescent="0.25">
      <c r="B152" s="1596"/>
      <c r="C152" s="1596"/>
      <c r="D152" s="1596"/>
      <c r="E152" s="1596"/>
      <c r="F152" s="1596"/>
      <c r="G152" s="1596"/>
      <c r="H152" s="1596"/>
      <c r="I152" s="1596"/>
      <c r="J152" s="1596"/>
      <c r="K152" s="1596"/>
      <c r="L152" s="1596"/>
      <c r="M152" s="1596"/>
      <c r="N152" s="1596"/>
      <c r="O152" s="1596"/>
      <c r="P152" s="1596"/>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127:L127"/>
    <mergeCell ref="M127:V127"/>
    <mergeCell ref="B27:K27"/>
    <mergeCell ref="B116:O116"/>
    <mergeCell ref="Q116:S116"/>
    <mergeCell ref="B117:V117"/>
    <mergeCell ref="S118:U118"/>
    <mergeCell ref="S119:U119"/>
    <mergeCell ref="S120:U120"/>
    <mergeCell ref="S124:U124"/>
    <mergeCell ref="S125:U125"/>
    <mergeCell ref="B128:L128"/>
    <mergeCell ref="N128:P128"/>
    <mergeCell ref="Q128:S128"/>
    <mergeCell ref="U128:V128"/>
    <mergeCell ref="B129:K129"/>
    <mergeCell ref="N129:P129"/>
    <mergeCell ref="Q129:S129"/>
    <mergeCell ref="B130:K130"/>
    <mergeCell ref="N130:P130"/>
    <mergeCell ref="Q130:S130"/>
    <mergeCell ref="B134:L134"/>
    <mergeCell ref="N134:P134"/>
    <mergeCell ref="Q134:S134"/>
    <mergeCell ref="B135:L135"/>
    <mergeCell ref="N135:P135"/>
    <mergeCell ref="Q135:S135"/>
    <mergeCell ref="B131:K131"/>
    <mergeCell ref="N131:P131"/>
    <mergeCell ref="Q131:S131"/>
    <mergeCell ref="B132:K132"/>
    <mergeCell ref="N132:P132"/>
    <mergeCell ref="Q132:S132"/>
    <mergeCell ref="B133:K133"/>
    <mergeCell ref="N133:P133"/>
    <mergeCell ref="Q133:S133"/>
  </mergeCells>
  <pageMargins left="0.511811023622047" right="1.0255905510000001" top="0.511811023622047" bottom="0.47244094488188998" header="0.31496062992126" footer="0.31496062992126"/>
  <pageSetup paperSize="5" scale="55" orientation="landscape" horizontalDpi="4294967293" verticalDpi="4294967293" r:id="rId1"/>
  <rowBreaks count="2" manualBreakCount="2">
    <brk id="57" min="1" max="21" man="1"/>
    <brk id="125" min="1"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C55"/>
  <sheetViews>
    <sheetView view="pageBreakPreview" topLeftCell="A33" zoomScale="93" zoomScaleNormal="75" zoomScaleSheetLayoutView="120" workbookViewId="0">
      <selection activeCell="Q25" sqref="Q25"/>
    </sheetView>
  </sheetViews>
  <sheetFormatPr defaultRowHeight="12.5" x14ac:dyDescent="0.25"/>
  <cols>
    <col min="1" max="1" width="5.36328125" style="341" customWidth="1"/>
    <col min="2" max="2" width="4.08984375" style="341" customWidth="1"/>
    <col min="3" max="3" width="3.26953125" style="341" customWidth="1"/>
    <col min="4" max="4" width="3" style="341" customWidth="1"/>
    <col min="5" max="5" width="3.453125" style="341" customWidth="1"/>
    <col min="6" max="10" width="1.54296875" style="341" customWidth="1"/>
    <col min="11" max="11" width="9.453125" style="341" customWidth="1"/>
    <col min="12" max="13" width="8.7265625" style="341"/>
    <col min="14" max="14" width="7.54296875" style="341" customWidth="1"/>
    <col min="15" max="15" width="6.81640625" style="341" customWidth="1"/>
    <col min="16" max="16" width="17.81640625" style="341" customWidth="1"/>
    <col min="17" max="17" width="21.453125" style="341" customWidth="1"/>
    <col min="18" max="18" width="17.81640625" style="341" customWidth="1"/>
    <col min="19" max="19" width="8.26953125" style="341" customWidth="1"/>
    <col min="20" max="20" width="10.81640625" style="341" customWidth="1"/>
    <col min="21" max="22" width="18.7265625" style="341" customWidth="1"/>
    <col min="23" max="23" width="37.81640625" style="341" customWidth="1"/>
    <col min="24" max="24" width="19.81640625" style="341" customWidth="1"/>
    <col min="25" max="25" width="18" style="341" customWidth="1"/>
    <col min="26" max="26" width="18.1796875" style="341" customWidth="1"/>
    <col min="27" max="27" width="15.26953125" style="341" customWidth="1"/>
    <col min="28" max="28" width="15.7265625" style="341" customWidth="1"/>
    <col min="29" max="29" width="16.81640625" style="341" customWidth="1"/>
    <col min="30" max="16384" width="8.7265625" style="341"/>
  </cols>
  <sheetData>
    <row r="1" spans="1:22" ht="13" thickBot="1" x14ac:dyDescent="0.3"/>
    <row r="2" spans="1:22" ht="26.25" customHeight="1" thickTop="1" x14ac:dyDescent="0.25">
      <c r="A2" s="449"/>
      <c r="B2" s="7"/>
      <c r="C2" s="8"/>
      <c r="D2" s="8"/>
      <c r="E2" s="8"/>
      <c r="F2" s="2537" t="s">
        <v>113</v>
      </c>
      <c r="G2" s="2537"/>
      <c r="H2" s="2537"/>
      <c r="I2" s="2537"/>
      <c r="J2" s="2537"/>
      <c r="K2" s="2537"/>
      <c r="L2" s="2537"/>
      <c r="M2" s="2537"/>
      <c r="N2" s="2537"/>
      <c r="O2" s="2537"/>
      <c r="P2" s="2543"/>
      <c r="Q2" s="2537" t="s">
        <v>367</v>
      </c>
      <c r="R2" s="2537"/>
      <c r="S2" s="2538"/>
      <c r="T2" s="330"/>
      <c r="U2" s="330"/>
      <c r="V2" s="330"/>
    </row>
    <row r="3" spans="1:22" ht="21.75" customHeight="1" thickBot="1" x14ac:dyDescent="0.3">
      <c r="A3" s="449"/>
      <c r="B3" s="12"/>
      <c r="C3" s="1"/>
      <c r="D3" s="1"/>
      <c r="E3" s="1"/>
      <c r="F3" s="2531" t="s">
        <v>114</v>
      </c>
      <c r="G3" s="2531"/>
      <c r="H3" s="2531"/>
      <c r="I3" s="2531"/>
      <c r="J3" s="2531"/>
      <c r="K3" s="2531"/>
      <c r="L3" s="2531"/>
      <c r="M3" s="2531"/>
      <c r="N3" s="2531"/>
      <c r="O3" s="2531"/>
      <c r="P3" s="2532"/>
      <c r="Q3" s="2539"/>
      <c r="R3" s="2539"/>
      <c r="S3" s="2540"/>
      <c r="T3" s="330"/>
      <c r="U3" s="330"/>
      <c r="V3" s="330"/>
    </row>
    <row r="4" spans="1:22" ht="22.5" customHeight="1" x14ac:dyDescent="0.25">
      <c r="A4" s="449"/>
      <c r="B4" s="2544" t="s">
        <v>11</v>
      </c>
      <c r="C4" s="2545"/>
      <c r="D4" s="2545"/>
      <c r="E4" s="2545"/>
      <c r="F4" s="2545"/>
      <c r="G4" s="2545"/>
      <c r="H4" s="2545"/>
      <c r="I4" s="2545"/>
      <c r="J4" s="2545"/>
      <c r="K4" s="2545"/>
      <c r="L4" s="2545"/>
      <c r="M4" s="2545"/>
      <c r="N4" s="2545"/>
      <c r="O4" s="2545"/>
      <c r="P4" s="2546"/>
      <c r="Q4" s="2539"/>
      <c r="R4" s="2539"/>
      <c r="S4" s="2540"/>
      <c r="T4" s="330"/>
      <c r="U4" s="330"/>
      <c r="V4" s="330"/>
    </row>
    <row r="5" spans="1:22" ht="20.25" customHeight="1" x14ac:dyDescent="0.25">
      <c r="A5" s="449"/>
      <c r="B5" s="2547" t="s">
        <v>661</v>
      </c>
      <c r="C5" s="2548"/>
      <c r="D5" s="2548"/>
      <c r="E5" s="2548"/>
      <c r="F5" s="2548"/>
      <c r="G5" s="2548"/>
      <c r="H5" s="2548"/>
      <c r="I5" s="2548"/>
      <c r="J5" s="2548"/>
      <c r="K5" s="2548"/>
      <c r="L5" s="2548"/>
      <c r="M5" s="2548"/>
      <c r="N5" s="2548"/>
      <c r="O5" s="2548"/>
      <c r="P5" s="2549"/>
      <c r="Q5" s="2541"/>
      <c r="R5" s="2541"/>
      <c r="S5" s="2542"/>
      <c r="T5" s="330"/>
      <c r="U5" s="330"/>
      <c r="V5" s="330"/>
    </row>
    <row r="6" spans="1:22" ht="14.25" customHeight="1" x14ac:dyDescent="0.3">
      <c r="A6" s="449"/>
      <c r="B6" s="2533" t="s">
        <v>115</v>
      </c>
      <c r="C6" s="2534"/>
      <c r="D6" s="2534"/>
      <c r="E6" s="2534"/>
      <c r="F6" s="2534"/>
      <c r="G6" s="2534"/>
      <c r="H6" s="2534"/>
      <c r="I6" s="2534"/>
      <c r="J6" s="2534"/>
      <c r="K6" s="2534"/>
      <c r="L6" s="2534"/>
      <c r="M6" s="2534"/>
      <c r="N6" s="365" t="s">
        <v>116</v>
      </c>
      <c r="O6" s="2535" t="s">
        <v>662</v>
      </c>
      <c r="P6" s="2535"/>
      <c r="Q6" s="2535"/>
      <c r="R6" s="2535"/>
      <c r="S6" s="2536"/>
      <c r="T6" s="70"/>
      <c r="U6" s="70"/>
      <c r="V6" s="70"/>
    </row>
    <row r="7" spans="1:22" ht="14.25" customHeight="1" x14ac:dyDescent="0.3">
      <c r="A7" s="449"/>
      <c r="B7" s="2533" t="s">
        <v>117</v>
      </c>
      <c r="C7" s="2534"/>
      <c r="D7" s="2534"/>
      <c r="E7" s="2534"/>
      <c r="F7" s="2534"/>
      <c r="G7" s="2534"/>
      <c r="H7" s="2534"/>
      <c r="I7" s="2534"/>
      <c r="J7" s="2534"/>
      <c r="K7" s="2534"/>
      <c r="L7" s="2534"/>
      <c r="M7" s="2534"/>
      <c r="N7" s="365" t="s">
        <v>116</v>
      </c>
      <c r="O7" s="2535" t="s">
        <v>663</v>
      </c>
      <c r="P7" s="2535"/>
      <c r="Q7" s="2535"/>
      <c r="R7" s="2535"/>
      <c r="S7" s="2536"/>
      <c r="T7" s="70"/>
      <c r="U7" s="70"/>
      <c r="V7" s="70"/>
    </row>
    <row r="8" spans="1:22" ht="14.25" customHeight="1" x14ac:dyDescent="0.3">
      <c r="A8" s="449"/>
      <c r="B8" s="366"/>
      <c r="C8" s="367"/>
      <c r="D8" s="367"/>
      <c r="E8" s="367"/>
      <c r="F8" s="367"/>
      <c r="G8" s="367"/>
      <c r="H8" s="367"/>
      <c r="I8" s="367"/>
      <c r="J8" s="367"/>
      <c r="K8" s="367"/>
      <c r="L8" s="367"/>
      <c r="M8" s="367"/>
      <c r="N8" s="368"/>
      <c r="O8" s="369"/>
      <c r="P8" s="2529" t="s">
        <v>227</v>
      </c>
      <c r="Q8" s="2529"/>
      <c r="R8" s="2529"/>
      <c r="S8" s="2530"/>
      <c r="T8" s="71"/>
      <c r="U8" s="71"/>
      <c r="V8" s="71"/>
    </row>
    <row r="9" spans="1:22" ht="14" x14ac:dyDescent="0.3">
      <c r="A9" s="449"/>
      <c r="B9" s="2581" t="s">
        <v>366</v>
      </c>
      <c r="C9" s="2582"/>
      <c r="D9" s="2582"/>
      <c r="E9" s="2582"/>
      <c r="F9" s="2582"/>
      <c r="G9" s="2582"/>
      <c r="H9" s="2582"/>
      <c r="I9" s="2582"/>
      <c r="J9" s="2582"/>
      <c r="K9" s="2582"/>
      <c r="L9" s="2582"/>
      <c r="M9" s="2582"/>
      <c r="N9" s="2582"/>
      <c r="O9" s="2582"/>
      <c r="P9" s="2582"/>
      <c r="Q9" s="2582"/>
      <c r="R9" s="2582"/>
      <c r="S9" s="2583"/>
      <c r="T9" s="69"/>
      <c r="U9" s="69"/>
      <c r="V9" s="69"/>
    </row>
    <row r="10" spans="1:22" ht="14" x14ac:dyDescent="0.3">
      <c r="A10" s="449"/>
      <c r="B10" s="2547" t="s">
        <v>118</v>
      </c>
      <c r="C10" s="2548"/>
      <c r="D10" s="2548"/>
      <c r="E10" s="2548"/>
      <c r="F10" s="2548"/>
      <c r="G10" s="2548"/>
      <c r="H10" s="2548"/>
      <c r="I10" s="2548"/>
      <c r="J10" s="2548"/>
      <c r="K10" s="2548"/>
      <c r="L10" s="2548"/>
      <c r="M10" s="2548"/>
      <c r="N10" s="2548"/>
      <c r="O10" s="2548"/>
      <c r="P10" s="2548"/>
      <c r="Q10" s="2548"/>
      <c r="R10" s="2548"/>
      <c r="S10" s="2584"/>
      <c r="T10" s="69"/>
      <c r="U10" s="69"/>
      <c r="V10" s="69"/>
    </row>
    <row r="11" spans="1:22" x14ac:dyDescent="0.25">
      <c r="A11" s="449"/>
      <c r="B11" s="2585" t="s">
        <v>119</v>
      </c>
      <c r="C11" s="2586"/>
      <c r="D11" s="2586"/>
      <c r="E11" s="2586"/>
      <c r="F11" s="2586"/>
      <c r="G11" s="2586"/>
      <c r="H11" s="2586"/>
      <c r="I11" s="2586"/>
      <c r="J11" s="2587"/>
      <c r="K11" s="2591" t="s">
        <v>121</v>
      </c>
      <c r="L11" s="2592"/>
      <c r="M11" s="2592"/>
      <c r="N11" s="2592"/>
      <c r="O11" s="2593"/>
      <c r="P11" s="2600" t="s">
        <v>368</v>
      </c>
      <c r="Q11" s="2600"/>
      <c r="R11" s="2601" t="s">
        <v>369</v>
      </c>
      <c r="S11" s="2602"/>
      <c r="T11" s="333"/>
      <c r="U11" s="333"/>
      <c r="V11" s="333"/>
    </row>
    <row r="12" spans="1:22" x14ac:dyDescent="0.25">
      <c r="A12" s="449"/>
      <c r="B12" s="370"/>
      <c r="C12" s="371"/>
      <c r="D12" s="371"/>
      <c r="E12" s="371"/>
      <c r="F12" s="371"/>
      <c r="G12" s="371"/>
      <c r="H12" s="371"/>
      <c r="I12" s="371"/>
      <c r="J12" s="372"/>
      <c r="K12" s="2594"/>
      <c r="L12" s="2595"/>
      <c r="M12" s="2595"/>
      <c r="N12" s="2595"/>
      <c r="O12" s="2596"/>
      <c r="P12" s="2601" t="s">
        <v>370</v>
      </c>
      <c r="Q12" s="2601" t="s">
        <v>371</v>
      </c>
      <c r="R12" s="2601"/>
      <c r="S12" s="2602"/>
      <c r="T12" s="333"/>
      <c r="U12" s="333"/>
      <c r="V12" s="333"/>
    </row>
    <row r="13" spans="1:22" x14ac:dyDescent="0.25">
      <c r="A13" s="449"/>
      <c r="B13" s="2588" t="s">
        <v>120</v>
      </c>
      <c r="C13" s="2589"/>
      <c r="D13" s="2589"/>
      <c r="E13" s="2589"/>
      <c r="F13" s="2589"/>
      <c r="G13" s="2589"/>
      <c r="H13" s="2589"/>
      <c r="I13" s="2589"/>
      <c r="J13" s="2590"/>
      <c r="K13" s="2597"/>
      <c r="L13" s="2598"/>
      <c r="M13" s="2598"/>
      <c r="N13" s="2598"/>
      <c r="O13" s="2599"/>
      <c r="P13" s="2601"/>
      <c r="Q13" s="2601"/>
      <c r="R13" s="337" t="s">
        <v>123</v>
      </c>
      <c r="S13" s="338" t="s">
        <v>273</v>
      </c>
      <c r="T13" s="333"/>
      <c r="U13" s="333"/>
      <c r="V13" s="333"/>
    </row>
    <row r="14" spans="1:22" ht="16" customHeight="1" x14ac:dyDescent="0.25">
      <c r="A14" s="449"/>
      <c r="B14" s="2576">
        <v>1</v>
      </c>
      <c r="C14" s="2577"/>
      <c r="D14" s="2577"/>
      <c r="E14" s="2577"/>
      <c r="F14" s="2577"/>
      <c r="G14" s="2577"/>
      <c r="H14" s="2577"/>
      <c r="I14" s="2577"/>
      <c r="J14" s="2578"/>
      <c r="K14" s="2579">
        <v>2</v>
      </c>
      <c r="L14" s="2577"/>
      <c r="M14" s="2577"/>
      <c r="N14" s="2577"/>
      <c r="O14" s="2580"/>
      <c r="P14" s="337">
        <v>3</v>
      </c>
      <c r="Q14" s="337">
        <v>4</v>
      </c>
      <c r="R14" s="337">
        <v>5</v>
      </c>
      <c r="S14" s="338">
        <v>6</v>
      </c>
      <c r="T14" s="333"/>
      <c r="U14" s="333"/>
      <c r="V14" s="333"/>
    </row>
    <row r="15" spans="1:22" ht="18" customHeight="1" x14ac:dyDescent="0.25">
      <c r="A15" s="449"/>
      <c r="B15" s="2562"/>
      <c r="C15" s="2563"/>
      <c r="D15" s="2566"/>
      <c r="E15" s="2552"/>
      <c r="F15" s="2553"/>
      <c r="G15" s="2554"/>
      <c r="H15" s="2552"/>
      <c r="I15" s="2553"/>
      <c r="J15" s="2554"/>
      <c r="K15" s="2558"/>
      <c r="L15" s="2559"/>
      <c r="M15" s="2559"/>
      <c r="N15" s="2559"/>
      <c r="O15" s="2560"/>
      <c r="P15" s="450"/>
      <c r="Q15" s="450"/>
      <c r="R15" s="450"/>
      <c r="S15" s="451"/>
      <c r="T15" s="342"/>
      <c r="U15" s="342"/>
      <c r="V15" s="342"/>
    </row>
    <row r="16" spans="1:22" ht="18" customHeight="1" x14ac:dyDescent="0.25">
      <c r="A16" s="449"/>
      <c r="B16" s="2570">
        <v>4</v>
      </c>
      <c r="C16" s="2571"/>
      <c r="D16" s="2572"/>
      <c r="E16" s="2573"/>
      <c r="F16" s="2574"/>
      <c r="G16" s="2575"/>
      <c r="H16" s="2573"/>
      <c r="I16" s="2574"/>
      <c r="J16" s="2575"/>
      <c r="K16" s="373" t="s">
        <v>31</v>
      </c>
      <c r="L16" s="382"/>
      <c r="M16" s="382"/>
      <c r="N16" s="382"/>
      <c r="O16" s="383"/>
      <c r="P16" s="374">
        <f>P17</f>
        <v>0</v>
      </c>
      <c r="Q16" s="374">
        <f>Q17</f>
        <v>0</v>
      </c>
      <c r="R16" s="374">
        <f>Q16-P16</f>
        <v>0</v>
      </c>
      <c r="S16" s="439">
        <v>0</v>
      </c>
      <c r="T16" s="72"/>
      <c r="U16" s="72"/>
      <c r="V16" s="72"/>
    </row>
    <row r="17" spans="1:29" ht="18" customHeight="1" x14ac:dyDescent="0.25">
      <c r="A17" s="449"/>
      <c r="B17" s="2570">
        <v>4</v>
      </c>
      <c r="C17" s="2571"/>
      <c r="D17" s="2572"/>
      <c r="E17" s="2573">
        <v>1</v>
      </c>
      <c r="F17" s="2574"/>
      <c r="G17" s="2575"/>
      <c r="H17" s="2573"/>
      <c r="I17" s="2574"/>
      <c r="J17" s="2575"/>
      <c r="K17" s="2555" t="s">
        <v>32</v>
      </c>
      <c r="L17" s="2556"/>
      <c r="M17" s="2556"/>
      <c r="N17" s="2556"/>
      <c r="O17" s="2557"/>
      <c r="P17" s="374">
        <f>P18</f>
        <v>0</v>
      </c>
      <c r="Q17" s="374">
        <f>Q18</f>
        <v>0</v>
      </c>
      <c r="R17" s="374">
        <f t="shared" ref="R17:R24" si="0">Q17-P17</f>
        <v>0</v>
      </c>
      <c r="S17" s="439">
        <v>0</v>
      </c>
      <c r="T17" s="72"/>
      <c r="U17" s="72"/>
      <c r="V17" s="72"/>
    </row>
    <row r="18" spans="1:29" ht="18" customHeight="1" x14ac:dyDescent="0.25">
      <c r="A18" s="449"/>
      <c r="B18" s="2570">
        <v>4</v>
      </c>
      <c r="C18" s="2571"/>
      <c r="D18" s="2572"/>
      <c r="E18" s="2573">
        <v>1</v>
      </c>
      <c r="F18" s="2574"/>
      <c r="G18" s="2575"/>
      <c r="H18" s="2573">
        <v>2</v>
      </c>
      <c r="I18" s="2574"/>
      <c r="J18" s="2575"/>
      <c r="K18" s="2567" t="s">
        <v>41</v>
      </c>
      <c r="L18" s="2568"/>
      <c r="M18" s="2568"/>
      <c r="N18" s="2568"/>
      <c r="O18" s="2569"/>
      <c r="P18" s="375">
        <v>0</v>
      </c>
      <c r="Q18" s="375">
        <v>0</v>
      </c>
      <c r="R18" s="374">
        <f t="shared" si="0"/>
        <v>0</v>
      </c>
      <c r="S18" s="439">
        <v>0</v>
      </c>
      <c r="T18" s="74"/>
      <c r="U18" s="74"/>
      <c r="V18" s="74"/>
    </row>
    <row r="19" spans="1:29" ht="18" customHeight="1" x14ac:dyDescent="0.25">
      <c r="A19" s="449"/>
      <c r="B19" s="376"/>
      <c r="C19" s="377"/>
      <c r="D19" s="378"/>
      <c r="E19" s="379"/>
      <c r="F19" s="380"/>
      <c r="G19" s="381"/>
      <c r="H19" s="379"/>
      <c r="I19" s="380"/>
      <c r="J19" s="381"/>
      <c r="K19" s="2603" t="s">
        <v>401</v>
      </c>
      <c r="L19" s="2604"/>
      <c r="M19" s="2604"/>
      <c r="N19" s="2604"/>
      <c r="O19" s="2605"/>
      <c r="P19" s="375">
        <f>P17</f>
        <v>0</v>
      </c>
      <c r="Q19" s="375">
        <f>Q17</f>
        <v>0</v>
      </c>
      <c r="R19" s="374">
        <f t="shared" si="0"/>
        <v>0</v>
      </c>
      <c r="S19" s="439">
        <v>0</v>
      </c>
      <c r="T19" s="74"/>
      <c r="U19" s="74"/>
      <c r="V19" s="74"/>
    </row>
    <row r="20" spans="1:29" ht="18" customHeight="1" x14ac:dyDescent="0.25">
      <c r="A20" s="449"/>
      <c r="B20" s="2562"/>
      <c r="C20" s="2563"/>
      <c r="D20" s="2566"/>
      <c r="E20" s="2552"/>
      <c r="F20" s="2553"/>
      <c r="G20" s="2554"/>
      <c r="H20" s="2552"/>
      <c r="I20" s="2553"/>
      <c r="J20" s="2554"/>
      <c r="K20" s="2558"/>
      <c r="L20" s="2559"/>
      <c r="M20" s="2559"/>
      <c r="N20" s="2559"/>
      <c r="O20" s="2560"/>
      <c r="P20" s="384"/>
      <c r="Q20" s="384"/>
      <c r="R20" s="384"/>
      <c r="S20" s="385"/>
      <c r="T20" s="75"/>
      <c r="U20" s="75"/>
      <c r="V20" s="75"/>
      <c r="X20" s="452"/>
      <c r="AA20" s="453"/>
    </row>
    <row r="21" spans="1:29" ht="18" customHeight="1" x14ac:dyDescent="0.25">
      <c r="A21" s="449"/>
      <c r="B21" s="2562">
        <v>5</v>
      </c>
      <c r="C21" s="2563"/>
      <c r="D21" s="2566"/>
      <c r="E21" s="2552"/>
      <c r="F21" s="2553"/>
      <c r="G21" s="2554"/>
      <c r="H21" s="2552"/>
      <c r="I21" s="2553"/>
      <c r="J21" s="2554"/>
      <c r="K21" s="2555" t="s">
        <v>37</v>
      </c>
      <c r="L21" s="2556"/>
      <c r="M21" s="2556"/>
      <c r="N21" s="2556"/>
      <c r="O21" s="2557"/>
      <c r="P21" s="374">
        <f>+P22+P24</f>
        <v>9418878620</v>
      </c>
      <c r="Q21" s="374">
        <f>+Q22+Q24</f>
        <v>8449917287</v>
      </c>
      <c r="R21" s="374">
        <f t="shared" si="0"/>
        <v>-968961333</v>
      </c>
      <c r="S21" s="439">
        <f>R21/P21*100</f>
        <v>-10.287438368114357</v>
      </c>
      <c r="T21" s="72"/>
      <c r="U21" s="72">
        <v>9792848363</v>
      </c>
      <c r="V21" s="78"/>
      <c r="W21" s="81"/>
      <c r="X21" s="454"/>
      <c r="AA21" s="455"/>
    </row>
    <row r="22" spans="1:29" ht="18" customHeight="1" x14ac:dyDescent="0.25">
      <c r="A22" s="449"/>
      <c r="B22" s="2562">
        <v>5</v>
      </c>
      <c r="C22" s="2563"/>
      <c r="D22" s="2566"/>
      <c r="E22" s="2552">
        <v>1</v>
      </c>
      <c r="F22" s="2553"/>
      <c r="G22" s="2554"/>
      <c r="H22" s="2552"/>
      <c r="I22" s="2553"/>
      <c r="J22" s="2554"/>
      <c r="K22" s="2555" t="s">
        <v>38</v>
      </c>
      <c r="L22" s="2556"/>
      <c r="M22" s="2556"/>
      <c r="N22" s="2556"/>
      <c r="O22" s="2557"/>
      <c r="P22" s="386">
        <f>P23</f>
        <v>3410148230</v>
      </c>
      <c r="Q22" s="386">
        <f>Q23</f>
        <v>3420394439</v>
      </c>
      <c r="R22" s="374">
        <f t="shared" si="0"/>
        <v>10246209</v>
      </c>
      <c r="S22" s="439">
        <f t="shared" ref="S22:S24" si="1">R22/P22*100</f>
        <v>0.30046227638614992</v>
      </c>
      <c r="T22" s="76"/>
      <c r="U22" s="76"/>
      <c r="V22" s="456">
        <v>5258928000</v>
      </c>
      <c r="W22" s="81" t="s">
        <v>259</v>
      </c>
      <c r="AA22" s="455"/>
    </row>
    <row r="23" spans="1:29" ht="18" customHeight="1" x14ac:dyDescent="0.25">
      <c r="A23" s="449"/>
      <c r="B23" s="2562">
        <v>5</v>
      </c>
      <c r="C23" s="2563"/>
      <c r="D23" s="2566"/>
      <c r="E23" s="2552">
        <v>1</v>
      </c>
      <c r="F23" s="2553"/>
      <c r="G23" s="2554"/>
      <c r="H23" s="2552">
        <v>1</v>
      </c>
      <c r="I23" s="2553"/>
      <c r="J23" s="2554"/>
      <c r="K23" s="2558" t="s">
        <v>6</v>
      </c>
      <c r="L23" s="2559"/>
      <c r="M23" s="2559"/>
      <c r="N23" s="2559"/>
      <c r="O23" s="2560"/>
      <c r="P23" s="387">
        <f>'Rutin BTL'!P50</f>
        <v>3410148230</v>
      </c>
      <c r="Q23" s="387">
        <f>'Rutin BTL'!T50</f>
        <v>3420394439</v>
      </c>
      <c r="R23" s="374">
        <f t="shared" si="0"/>
        <v>10246209</v>
      </c>
      <c r="S23" s="439">
        <f t="shared" si="1"/>
        <v>0.30046227638614992</v>
      </c>
      <c r="T23" s="77"/>
      <c r="U23" s="77"/>
      <c r="V23" s="82"/>
      <c r="W23" s="81"/>
      <c r="Y23" s="455"/>
      <c r="Z23" s="455"/>
    </row>
    <row r="24" spans="1:29" ht="18" customHeight="1" x14ac:dyDescent="0.25">
      <c r="A24" s="449"/>
      <c r="B24" s="2562">
        <v>5</v>
      </c>
      <c r="C24" s="2563"/>
      <c r="D24" s="2566"/>
      <c r="E24" s="2552">
        <v>2</v>
      </c>
      <c r="F24" s="2553"/>
      <c r="G24" s="2554"/>
      <c r="H24" s="2552"/>
      <c r="I24" s="2553"/>
      <c r="J24" s="2554"/>
      <c r="K24" s="2555" t="s">
        <v>44</v>
      </c>
      <c r="L24" s="2556"/>
      <c r="M24" s="2556"/>
      <c r="N24" s="2556"/>
      <c r="O24" s="2557"/>
      <c r="P24" s="374">
        <f>SUM(P25:P27)</f>
        <v>6008730390</v>
      </c>
      <c r="Q24" s="374">
        <f>SUM(Q25:Q27)</f>
        <v>5029522848</v>
      </c>
      <c r="R24" s="374">
        <f t="shared" si="0"/>
        <v>-979207542</v>
      </c>
      <c r="S24" s="439">
        <f t="shared" si="1"/>
        <v>-16.296413359295357</v>
      </c>
      <c r="T24" s="78"/>
      <c r="U24" s="78"/>
      <c r="V24" s="81"/>
      <c r="W24" s="454">
        <f>P23</f>
        <v>3410148230</v>
      </c>
      <c r="X24" s="457" t="e">
        <f>P24-X25</f>
        <v>#REF!</v>
      </c>
      <c r="Y24" s="458" t="s">
        <v>195</v>
      </c>
      <c r="Z24" s="24"/>
      <c r="AA24" s="454" t="e">
        <f>#REF!</f>
        <v>#REF!</v>
      </c>
      <c r="AB24" s="341" t="s">
        <v>213</v>
      </c>
    </row>
    <row r="25" spans="1:29" ht="18" customHeight="1" x14ac:dyDescent="0.25">
      <c r="A25" s="449"/>
      <c r="B25" s="2562">
        <v>5</v>
      </c>
      <c r="C25" s="2563"/>
      <c r="D25" s="2566"/>
      <c r="E25" s="2552">
        <v>2</v>
      </c>
      <c r="F25" s="2553"/>
      <c r="G25" s="2554"/>
      <c r="H25" s="2552">
        <v>1</v>
      </c>
      <c r="I25" s="2553"/>
      <c r="J25" s="2554"/>
      <c r="K25" s="2558" t="s">
        <v>6</v>
      </c>
      <c r="L25" s="2559"/>
      <c r="M25" s="2559"/>
      <c r="N25" s="2559"/>
      <c r="O25" s="2560"/>
      <c r="P25" s="387">
        <f>'RECAP KEGIATAN BL'!U53</f>
        <v>712615000</v>
      </c>
      <c r="Q25" s="387">
        <f>'RECAP KEGIATAN BL'!Y53</f>
        <v>511350000</v>
      </c>
      <c r="R25" s="387"/>
      <c r="S25" s="388"/>
      <c r="T25" s="77"/>
      <c r="U25" s="80">
        <f>V22-P24</f>
        <v>-749802390</v>
      </c>
      <c r="V25" s="459" t="s">
        <v>216</v>
      </c>
      <c r="X25" s="457" t="e">
        <f>X26+X30</f>
        <v>#REF!</v>
      </c>
      <c r="Y25" s="460" t="s">
        <v>212</v>
      </c>
      <c r="Z25" s="461"/>
      <c r="AA25" s="454" t="e">
        <f>#REF!</f>
        <v>#REF!</v>
      </c>
      <c r="AB25" s="341" t="s">
        <v>214</v>
      </c>
    </row>
    <row r="26" spans="1:29" ht="18" customHeight="1" x14ac:dyDescent="0.25">
      <c r="A26" s="449"/>
      <c r="B26" s="2562">
        <v>5</v>
      </c>
      <c r="C26" s="2563"/>
      <c r="D26" s="2564"/>
      <c r="E26" s="2552">
        <v>2</v>
      </c>
      <c r="F26" s="2553"/>
      <c r="G26" s="2561"/>
      <c r="H26" s="2552">
        <v>2</v>
      </c>
      <c r="I26" s="2553"/>
      <c r="J26" s="2561"/>
      <c r="K26" s="2558" t="s">
        <v>42</v>
      </c>
      <c r="L26" s="2559"/>
      <c r="M26" s="2559"/>
      <c r="N26" s="2559"/>
      <c r="O26" s="2565"/>
      <c r="P26" s="387">
        <f>'RECAP KEGIATAN BL'!V53</f>
        <v>3492940390</v>
      </c>
      <c r="Q26" s="387">
        <f>'RECAP KEGIATAN BL'!Z53</f>
        <v>2980492006</v>
      </c>
      <c r="R26" s="387"/>
      <c r="S26" s="388"/>
      <c r="T26" s="77"/>
      <c r="U26" s="77">
        <f>P24-U27-U28-U29</f>
        <v>6008730390</v>
      </c>
      <c r="V26" s="341" t="s">
        <v>236</v>
      </c>
      <c r="W26" s="454">
        <f>P25</f>
        <v>712615000</v>
      </c>
      <c r="X26" s="456">
        <v>14316605690</v>
      </c>
      <c r="Y26" s="341" t="s">
        <v>221</v>
      </c>
      <c r="Z26" s="455"/>
      <c r="AA26" s="456" t="e">
        <f>#REF!</f>
        <v>#REF!</v>
      </c>
      <c r="AB26" s="341" t="s">
        <v>215</v>
      </c>
    </row>
    <row r="27" spans="1:29" ht="18" customHeight="1" x14ac:dyDescent="0.25">
      <c r="A27" s="449"/>
      <c r="B27" s="2562">
        <v>5</v>
      </c>
      <c r="C27" s="2563"/>
      <c r="D27" s="2564"/>
      <c r="E27" s="2552">
        <v>2</v>
      </c>
      <c r="F27" s="2553"/>
      <c r="G27" s="2561"/>
      <c r="H27" s="2552">
        <v>3</v>
      </c>
      <c r="I27" s="2553"/>
      <c r="J27" s="2561"/>
      <c r="K27" s="2558" t="s">
        <v>43</v>
      </c>
      <c r="L27" s="2559"/>
      <c r="M27" s="2559"/>
      <c r="N27" s="2559"/>
      <c r="O27" s="2565"/>
      <c r="P27" s="387">
        <f>'RECAP KEGIATAN BL'!W53</f>
        <v>1803175000</v>
      </c>
      <c r="Q27" s="387">
        <f>'RECAP KEGIATAN BL'!AA53</f>
        <v>1537680842</v>
      </c>
      <c r="R27" s="387"/>
      <c r="S27" s="388"/>
      <c r="T27" s="79"/>
      <c r="U27" s="79"/>
      <c r="V27" s="341" t="s">
        <v>219</v>
      </c>
      <c r="W27" s="454">
        <f>P26</f>
        <v>3492940390</v>
      </c>
      <c r="X27" s="456">
        <v>7200000000</v>
      </c>
      <c r="Y27" s="341" t="s">
        <v>219</v>
      </c>
      <c r="AA27" s="462" t="e">
        <f>#REF!</f>
        <v>#REF!</v>
      </c>
      <c r="AB27" s="341" t="s">
        <v>217</v>
      </c>
    </row>
    <row r="28" spans="1:29" ht="18" customHeight="1" x14ac:dyDescent="0.25">
      <c r="A28" s="449"/>
      <c r="B28" s="2562"/>
      <c r="C28" s="2563"/>
      <c r="D28" s="2564"/>
      <c r="E28" s="2552"/>
      <c r="F28" s="2553"/>
      <c r="G28" s="2561"/>
      <c r="H28" s="2552"/>
      <c r="I28" s="2553"/>
      <c r="J28" s="2561"/>
      <c r="K28" s="2612"/>
      <c r="L28" s="2613"/>
      <c r="M28" s="2613"/>
      <c r="N28" s="2613"/>
      <c r="O28" s="2614"/>
      <c r="P28" s="389"/>
      <c r="Q28" s="389"/>
      <c r="R28" s="389"/>
      <c r="S28" s="390"/>
      <c r="T28" s="75"/>
      <c r="U28" s="75">
        <v>0</v>
      </c>
      <c r="V28" s="341" t="s">
        <v>218</v>
      </c>
      <c r="W28" s="454">
        <f>P27</f>
        <v>1803175000</v>
      </c>
      <c r="X28" s="456">
        <v>564176250</v>
      </c>
      <c r="Y28" s="341" t="s">
        <v>218</v>
      </c>
      <c r="AA28" s="456" t="e">
        <f>#REF!</f>
        <v>#REF!</v>
      </c>
      <c r="AB28" s="341" t="s">
        <v>222</v>
      </c>
    </row>
    <row r="29" spans="1:29" ht="18" customHeight="1" x14ac:dyDescent="0.25">
      <c r="A29" s="449"/>
      <c r="B29" s="2562"/>
      <c r="C29" s="2563"/>
      <c r="D29" s="2564"/>
      <c r="E29" s="2552"/>
      <c r="F29" s="2553"/>
      <c r="G29" s="2561"/>
      <c r="H29" s="2552"/>
      <c r="I29" s="2553"/>
      <c r="J29" s="2561"/>
      <c r="K29" s="2609" t="s">
        <v>124</v>
      </c>
      <c r="L29" s="2610"/>
      <c r="M29" s="2610"/>
      <c r="N29" s="2610"/>
      <c r="O29" s="2611"/>
      <c r="P29" s="375">
        <f>P21</f>
        <v>9418878620</v>
      </c>
      <c r="Q29" s="375">
        <f>Q21</f>
        <v>8449917287</v>
      </c>
      <c r="R29" s="375">
        <f>SUM(Q29-P29)</f>
        <v>-968961333</v>
      </c>
      <c r="S29" s="439">
        <f t="shared" ref="S29" si="2">R29/P29*100</f>
        <v>-10.287438368114357</v>
      </c>
      <c r="T29" s="75"/>
      <c r="U29" s="75">
        <v>0</v>
      </c>
      <c r="V29" s="341" t="s">
        <v>234</v>
      </c>
      <c r="X29" s="456">
        <f>X26-X27-X28-X31</f>
        <v>6502429440</v>
      </c>
      <c r="Y29" s="341" t="s">
        <v>220</v>
      </c>
      <c r="Z29" s="454"/>
      <c r="AA29" s="463" t="e">
        <f>#REF!</f>
        <v>#REF!</v>
      </c>
      <c r="AB29" s="341" t="s">
        <v>223</v>
      </c>
      <c r="AC29" s="464"/>
    </row>
    <row r="30" spans="1:29" ht="18" customHeight="1" thickBot="1" x14ac:dyDescent="0.3">
      <c r="A30" s="449"/>
      <c r="B30" s="2562"/>
      <c r="C30" s="2563"/>
      <c r="D30" s="2564"/>
      <c r="E30" s="2552"/>
      <c r="F30" s="2553"/>
      <c r="G30" s="2561"/>
      <c r="H30" s="2552"/>
      <c r="I30" s="2553"/>
      <c r="J30" s="2561"/>
      <c r="K30" s="2606"/>
      <c r="L30" s="2607"/>
      <c r="M30" s="2607"/>
      <c r="N30" s="2607"/>
      <c r="O30" s="2608"/>
      <c r="P30" s="391"/>
      <c r="Q30" s="391"/>
      <c r="R30" s="391"/>
      <c r="S30" s="392"/>
      <c r="T30" s="75"/>
      <c r="U30" s="75"/>
      <c r="V30" s="75"/>
      <c r="X30" s="454" t="e">
        <f>#REF!</f>
        <v>#REF!</v>
      </c>
      <c r="Y30" s="341" t="s">
        <v>211</v>
      </c>
      <c r="AA30" s="454" t="e">
        <f>SUM(AA24:AA29)</f>
        <v>#REF!</v>
      </c>
      <c r="AC30" s="464"/>
    </row>
    <row r="31" spans="1:29" ht="18" customHeight="1" thickTop="1" thickBot="1" x14ac:dyDescent="0.3">
      <c r="A31" s="449"/>
      <c r="B31" s="2627" t="s">
        <v>404</v>
      </c>
      <c r="C31" s="2628"/>
      <c r="D31" s="2628"/>
      <c r="E31" s="2628"/>
      <c r="F31" s="2628"/>
      <c r="G31" s="2628"/>
      <c r="H31" s="2628"/>
      <c r="I31" s="2628"/>
      <c r="J31" s="2628"/>
      <c r="K31" s="2628"/>
      <c r="L31" s="2628"/>
      <c r="M31" s="2628"/>
      <c r="N31" s="2628"/>
      <c r="O31" s="2628"/>
      <c r="P31" s="2628"/>
      <c r="Q31" s="2628"/>
      <c r="R31" s="2628"/>
      <c r="S31" s="2629"/>
      <c r="T31" s="75"/>
      <c r="U31" s="82">
        <f>P24</f>
        <v>6008730390</v>
      </c>
      <c r="V31" s="75"/>
      <c r="X31" s="456">
        <v>50000000</v>
      </c>
      <c r="Y31" s="455" t="s">
        <v>193</v>
      </c>
      <c r="Z31" s="455"/>
      <c r="AC31" s="464"/>
    </row>
    <row r="32" spans="1:29" ht="18" customHeight="1" thickTop="1" x14ac:dyDescent="0.25">
      <c r="A32" s="449"/>
      <c r="B32" s="465" t="s">
        <v>405</v>
      </c>
      <c r="C32" s="2633" t="s">
        <v>405</v>
      </c>
      <c r="D32" s="2633"/>
      <c r="E32" s="2635" t="s">
        <v>121</v>
      </c>
      <c r="F32" s="2635"/>
      <c r="G32" s="2635"/>
      <c r="H32" s="2635"/>
      <c r="I32" s="2635"/>
      <c r="J32" s="2635"/>
      <c r="K32" s="2635"/>
      <c r="L32" s="2633" t="s">
        <v>410</v>
      </c>
      <c r="M32" s="2633"/>
      <c r="N32" s="2633"/>
      <c r="O32" s="2633"/>
      <c r="P32" s="2633"/>
      <c r="Q32" s="2633"/>
      <c r="R32" s="2633"/>
      <c r="S32" s="2634"/>
      <c r="T32" s="75"/>
      <c r="U32" s="75"/>
      <c r="V32" s="75"/>
      <c r="X32" s="455"/>
      <c r="AA32" s="454" t="e">
        <f>AA30-X24</f>
        <v>#REF!</v>
      </c>
      <c r="AC32" s="464"/>
    </row>
    <row r="33" spans="1:29" ht="18" customHeight="1" x14ac:dyDescent="0.25">
      <c r="A33" s="449"/>
      <c r="B33" s="466"/>
      <c r="C33" s="2616"/>
      <c r="D33" s="2616"/>
      <c r="E33" s="2636"/>
      <c r="F33" s="2636"/>
      <c r="G33" s="2636"/>
      <c r="H33" s="2636"/>
      <c r="I33" s="2636"/>
      <c r="J33" s="2636"/>
      <c r="K33" s="2636"/>
      <c r="L33" s="2632" t="s">
        <v>409</v>
      </c>
      <c r="M33" s="2632"/>
      <c r="N33" s="2632" t="s">
        <v>408</v>
      </c>
      <c r="O33" s="2632"/>
      <c r="P33" s="139" t="s">
        <v>407</v>
      </c>
      <c r="Q33" s="139" t="s">
        <v>406</v>
      </c>
      <c r="R33" s="2630" t="s">
        <v>126</v>
      </c>
      <c r="S33" s="2631"/>
      <c r="T33" s="73"/>
      <c r="U33" s="73"/>
      <c r="V33" s="73"/>
      <c r="X33" s="455">
        <f>P21</f>
        <v>9418878620</v>
      </c>
      <c r="Y33" s="454" t="e">
        <f>AA32</f>
        <v>#REF!</v>
      </c>
      <c r="AC33" s="461"/>
    </row>
    <row r="34" spans="1:29" ht="11.25" customHeight="1" x14ac:dyDescent="0.25">
      <c r="A34" s="449"/>
      <c r="B34" s="466"/>
      <c r="C34" s="2616">
        <v>1</v>
      </c>
      <c r="D34" s="2616"/>
      <c r="E34" s="2636">
        <v>2</v>
      </c>
      <c r="F34" s="2636"/>
      <c r="G34" s="2636"/>
      <c r="H34" s="2636"/>
      <c r="I34" s="2636"/>
      <c r="J34" s="2636"/>
      <c r="K34" s="2636"/>
      <c r="L34" s="2632">
        <v>3</v>
      </c>
      <c r="M34" s="2632"/>
      <c r="N34" s="2632">
        <v>4</v>
      </c>
      <c r="O34" s="2632"/>
      <c r="P34" s="138">
        <v>5</v>
      </c>
      <c r="Q34" s="393">
        <v>6</v>
      </c>
      <c r="R34" s="2637">
        <v>7</v>
      </c>
      <c r="S34" s="2622"/>
      <c r="T34" s="73"/>
      <c r="U34" s="73">
        <f>R29+205865880</f>
        <v>-763095453</v>
      </c>
      <c r="V34" s="73"/>
      <c r="X34" s="455"/>
      <c r="Y34" s="454"/>
      <c r="AC34" s="461"/>
    </row>
    <row r="35" spans="1:29" ht="18" customHeight="1" x14ac:dyDescent="0.25">
      <c r="A35" s="449"/>
      <c r="B35" s="466"/>
      <c r="C35" s="2616">
        <v>1</v>
      </c>
      <c r="D35" s="2616"/>
      <c r="E35" s="2619" t="s">
        <v>413</v>
      </c>
      <c r="F35" s="2619"/>
      <c r="G35" s="2619"/>
      <c r="H35" s="2619"/>
      <c r="I35" s="2619"/>
      <c r="J35" s="2619"/>
      <c r="K35" s="2619"/>
      <c r="L35" s="2620">
        <v>0</v>
      </c>
      <c r="M35" s="2620"/>
      <c r="N35" s="2620">
        <v>0</v>
      </c>
      <c r="O35" s="2620"/>
      <c r="P35" s="140">
        <v>0</v>
      </c>
      <c r="Q35" s="140">
        <v>0</v>
      </c>
      <c r="R35" s="2621">
        <f>SUM(L35:Q35)</f>
        <v>0</v>
      </c>
      <c r="S35" s="2622"/>
      <c r="T35" s="73"/>
      <c r="U35" s="73"/>
      <c r="V35" s="73"/>
      <c r="X35" s="455"/>
      <c r="Y35" s="454"/>
      <c r="AC35" s="461"/>
    </row>
    <row r="36" spans="1:29" ht="18" customHeight="1" x14ac:dyDescent="0.25">
      <c r="A36" s="449"/>
      <c r="B36" s="466"/>
      <c r="C36" s="2615" t="s">
        <v>411</v>
      </c>
      <c r="D36" s="2616"/>
      <c r="E36" s="2619" t="s">
        <v>38</v>
      </c>
      <c r="F36" s="2619"/>
      <c r="G36" s="2619"/>
      <c r="H36" s="2619"/>
      <c r="I36" s="2619"/>
      <c r="J36" s="2619"/>
      <c r="K36" s="2619"/>
      <c r="L36" s="2620">
        <v>0</v>
      </c>
      <c r="M36" s="2620"/>
      <c r="N36" s="2620">
        <v>0</v>
      </c>
      <c r="O36" s="2620"/>
      <c r="P36" s="140">
        <v>0</v>
      </c>
      <c r="Q36" s="140">
        <v>0</v>
      </c>
      <c r="R36" s="2621">
        <f t="shared" ref="R36:R37" si="3">SUM(L36:Q36)</f>
        <v>0</v>
      </c>
      <c r="S36" s="2622"/>
      <c r="T36" s="73"/>
      <c r="U36" s="73"/>
      <c r="V36" s="73"/>
      <c r="AA36" s="454">
        <v>18274341576</v>
      </c>
      <c r="AB36" s="341" t="s">
        <v>226</v>
      </c>
      <c r="AC36" s="461"/>
    </row>
    <row r="37" spans="1:29" ht="14.25" customHeight="1" thickBot="1" x14ac:dyDescent="0.3">
      <c r="A37" s="449"/>
      <c r="B37" s="471"/>
      <c r="C37" s="2617" t="s">
        <v>412</v>
      </c>
      <c r="D37" s="2618"/>
      <c r="E37" s="2623" t="s">
        <v>44</v>
      </c>
      <c r="F37" s="2623"/>
      <c r="G37" s="2623"/>
      <c r="H37" s="2623"/>
      <c r="I37" s="2623"/>
      <c r="J37" s="2623"/>
      <c r="K37" s="2623"/>
      <c r="L37" s="2624">
        <v>0</v>
      </c>
      <c r="M37" s="2624"/>
      <c r="N37" s="2624">
        <v>0</v>
      </c>
      <c r="O37" s="2624"/>
      <c r="P37" s="141">
        <v>0</v>
      </c>
      <c r="Q37" s="141">
        <v>0</v>
      </c>
      <c r="R37" s="2625">
        <f t="shared" si="3"/>
        <v>0</v>
      </c>
      <c r="S37" s="2626"/>
      <c r="T37" s="75"/>
      <c r="U37" s="75"/>
      <c r="V37" s="75"/>
      <c r="X37" s="455">
        <f>P24</f>
        <v>6008730390</v>
      </c>
      <c r="AA37" s="454">
        <f>P24-AA36</f>
        <v>-12265611186</v>
      </c>
    </row>
    <row r="38" spans="1:29" ht="13" thickTop="1" x14ac:dyDescent="0.25">
      <c r="A38" s="449"/>
      <c r="B38" s="466"/>
      <c r="C38" s="346"/>
      <c r="D38" s="2550"/>
      <c r="E38" s="2550"/>
      <c r="F38" s="346"/>
      <c r="G38" s="2550"/>
      <c r="H38" s="2550"/>
      <c r="I38" s="346"/>
      <c r="J38" s="2550"/>
      <c r="K38" s="2550"/>
      <c r="L38" s="346"/>
      <c r="M38" s="346"/>
      <c r="N38" s="2550"/>
      <c r="O38" s="2550"/>
      <c r="P38" s="2550"/>
      <c r="Q38" s="2550"/>
      <c r="R38" s="2550"/>
      <c r="S38" s="395"/>
      <c r="T38" s="342"/>
      <c r="U38" s="342"/>
      <c r="V38" s="342"/>
      <c r="W38" s="342"/>
    </row>
    <row r="39" spans="1:29" x14ac:dyDescent="0.25">
      <c r="A39" s="449"/>
      <c r="B39" s="466"/>
      <c r="C39" s="346"/>
      <c r="D39" s="2550"/>
      <c r="E39" s="2550"/>
      <c r="F39" s="346"/>
      <c r="G39" s="2550"/>
      <c r="H39" s="2550"/>
      <c r="I39" s="346"/>
      <c r="J39" s="2550"/>
      <c r="K39" s="2550"/>
      <c r="L39" s="346"/>
      <c r="M39" s="346"/>
      <c r="N39" s="346"/>
      <c r="O39" s="344"/>
      <c r="P39" s="344"/>
      <c r="Q39" s="394" t="s">
        <v>666</v>
      </c>
      <c r="R39" s="346"/>
      <c r="S39" s="395"/>
      <c r="T39" s="20"/>
      <c r="U39" s="20"/>
      <c r="V39" s="20"/>
      <c r="W39" s="20"/>
    </row>
    <row r="40" spans="1:29" x14ac:dyDescent="0.25">
      <c r="A40" s="449"/>
      <c r="B40" s="466"/>
      <c r="C40" s="346"/>
      <c r="D40" s="2550"/>
      <c r="E40" s="2550"/>
      <c r="F40" s="346"/>
      <c r="G40" s="2550"/>
      <c r="H40" s="2550"/>
      <c r="I40" s="346"/>
      <c r="J40" s="2550"/>
      <c r="K40" s="2550"/>
      <c r="L40" s="346"/>
      <c r="M40" s="346"/>
      <c r="N40" s="396"/>
      <c r="O40" s="344"/>
      <c r="P40" s="344"/>
      <c r="Q40" s="394" t="s">
        <v>414</v>
      </c>
      <c r="R40" s="396"/>
      <c r="S40" s="397"/>
      <c r="T40" s="21"/>
      <c r="U40" s="21"/>
      <c r="V40" s="21"/>
      <c r="W40" s="21"/>
    </row>
    <row r="41" spans="1:29" x14ac:dyDescent="0.25">
      <c r="A41" s="449"/>
      <c r="B41" s="466"/>
      <c r="C41" s="346"/>
      <c r="D41" s="2550"/>
      <c r="E41" s="2550"/>
      <c r="F41" s="346"/>
      <c r="G41" s="2550"/>
      <c r="H41" s="2550"/>
      <c r="I41" s="346"/>
      <c r="J41" s="2550"/>
      <c r="K41" s="2550"/>
      <c r="L41" s="346"/>
      <c r="M41" s="346"/>
      <c r="N41" s="396"/>
      <c r="O41" s="344"/>
      <c r="P41" s="344"/>
      <c r="Q41" s="371" t="s">
        <v>415</v>
      </c>
      <c r="R41" s="396"/>
      <c r="S41" s="397"/>
      <c r="T41" s="21"/>
      <c r="U41" s="21"/>
      <c r="V41" s="21"/>
      <c r="W41" s="21"/>
    </row>
    <row r="42" spans="1:29" x14ac:dyDescent="0.25">
      <c r="A42" s="449"/>
      <c r="B42" s="466"/>
      <c r="C42" s="346"/>
      <c r="D42" s="2550"/>
      <c r="E42" s="2550"/>
      <c r="F42" s="346"/>
      <c r="G42" s="2550"/>
      <c r="H42" s="2550"/>
      <c r="I42" s="346"/>
      <c r="J42" s="2550"/>
      <c r="K42" s="2550"/>
      <c r="L42" s="346"/>
      <c r="M42" s="346"/>
      <c r="N42" s="396"/>
      <c r="O42" s="344"/>
      <c r="P42" s="344"/>
      <c r="Q42" s="469"/>
      <c r="R42" s="346"/>
      <c r="S42" s="395"/>
      <c r="T42" s="342"/>
      <c r="U42" s="342"/>
      <c r="V42" s="342"/>
      <c r="W42" s="342"/>
    </row>
    <row r="43" spans="1:29" x14ac:dyDescent="0.25">
      <c r="A43" s="449"/>
      <c r="B43" s="466"/>
      <c r="C43" s="346"/>
      <c r="D43" s="2550"/>
      <c r="E43" s="2550"/>
      <c r="F43" s="346"/>
      <c r="G43" s="2550"/>
      <c r="H43" s="2550"/>
      <c r="I43" s="346"/>
      <c r="J43" s="2550"/>
      <c r="K43" s="2550"/>
      <c r="L43" s="346"/>
      <c r="M43" s="346"/>
      <c r="N43" s="396"/>
      <c r="O43" s="344"/>
      <c r="P43" s="344"/>
      <c r="Q43" s="469"/>
      <c r="R43" s="346"/>
      <c r="S43" s="395"/>
      <c r="T43" s="342"/>
      <c r="U43" s="342"/>
      <c r="V43" s="342"/>
      <c r="W43" s="342"/>
    </row>
    <row r="44" spans="1:29" x14ac:dyDescent="0.25">
      <c r="A44" s="449"/>
      <c r="B44" s="466"/>
      <c r="C44" s="346"/>
      <c r="D44" s="2550"/>
      <c r="E44" s="2550"/>
      <c r="F44" s="346"/>
      <c r="G44" s="2550"/>
      <c r="H44" s="2550"/>
      <c r="I44" s="346"/>
      <c r="J44" s="2550"/>
      <c r="K44" s="2550"/>
      <c r="L44" s="346"/>
      <c r="M44" s="346"/>
      <c r="N44" s="396"/>
      <c r="O44" s="344"/>
      <c r="P44" s="344"/>
      <c r="Q44" s="469"/>
      <c r="R44" s="346"/>
      <c r="S44" s="395"/>
      <c r="T44" s="342"/>
      <c r="U44" s="342"/>
      <c r="V44" s="342"/>
      <c r="W44" s="342"/>
    </row>
    <row r="45" spans="1:29" x14ac:dyDescent="0.25">
      <c r="A45" s="449"/>
      <c r="B45" s="466"/>
      <c r="C45" s="346"/>
      <c r="D45" s="2550"/>
      <c r="E45" s="2550"/>
      <c r="F45" s="346"/>
      <c r="G45" s="2550"/>
      <c r="H45" s="2550"/>
      <c r="I45" s="346"/>
      <c r="J45" s="2550"/>
      <c r="K45" s="2550"/>
      <c r="L45" s="346"/>
      <c r="M45" s="346"/>
      <c r="N45" s="398"/>
      <c r="O45" s="344"/>
      <c r="P45" s="344"/>
      <c r="Q45" s="399" t="s">
        <v>416</v>
      </c>
      <c r="R45" s="398"/>
      <c r="S45" s="400"/>
      <c r="T45" s="23"/>
      <c r="U45" s="23"/>
      <c r="V45" s="23"/>
      <c r="W45" s="23"/>
    </row>
    <row r="46" spans="1:29" x14ac:dyDescent="0.25">
      <c r="A46" s="449"/>
      <c r="B46" s="466"/>
      <c r="C46" s="346"/>
      <c r="D46" s="346"/>
      <c r="E46" s="346"/>
      <c r="F46" s="346"/>
      <c r="G46" s="346"/>
      <c r="H46" s="346"/>
      <c r="I46" s="346"/>
      <c r="J46" s="346"/>
      <c r="K46" s="346"/>
      <c r="L46" s="346"/>
      <c r="M46" s="346"/>
      <c r="N46" s="398"/>
      <c r="O46" s="344"/>
      <c r="P46" s="344"/>
      <c r="Q46" s="371" t="s">
        <v>417</v>
      </c>
      <c r="R46" s="398"/>
      <c r="S46" s="400"/>
      <c r="T46" s="23"/>
      <c r="U46" s="23"/>
      <c r="V46" s="23"/>
      <c r="W46" s="23"/>
    </row>
    <row r="47" spans="1:29" ht="13" thickBot="1" x14ac:dyDescent="0.3">
      <c r="A47" s="449"/>
      <c r="B47" s="467"/>
      <c r="C47" s="470"/>
      <c r="D47" s="2551"/>
      <c r="E47" s="2551"/>
      <c r="F47" s="470"/>
      <c r="G47" s="2551"/>
      <c r="H47" s="2551"/>
      <c r="I47" s="470"/>
      <c r="J47" s="2551"/>
      <c r="K47" s="2551"/>
      <c r="L47" s="470"/>
      <c r="M47" s="470"/>
      <c r="N47" s="401"/>
      <c r="O47" s="470"/>
      <c r="P47" s="470"/>
      <c r="Q47" s="401"/>
      <c r="R47" s="401"/>
      <c r="S47" s="402"/>
      <c r="T47" s="21"/>
      <c r="U47" s="21"/>
      <c r="V47" s="21"/>
      <c r="W47" s="43"/>
    </row>
    <row r="48" spans="1:29" ht="13" thickTop="1" x14ac:dyDescent="0.25"/>
    <row r="55" spans="15:15" ht="14" x14ac:dyDescent="0.3">
      <c r="O55" s="10"/>
    </row>
  </sheetData>
  <mergeCells count="137">
    <mergeCell ref="N33:O33"/>
    <mergeCell ref="L33:M33"/>
    <mergeCell ref="L32:S32"/>
    <mergeCell ref="L34:M34"/>
    <mergeCell ref="N34:O34"/>
    <mergeCell ref="C32:D33"/>
    <mergeCell ref="C34:D34"/>
    <mergeCell ref="E32:K33"/>
    <mergeCell ref="E34:K34"/>
    <mergeCell ref="R34:S34"/>
    <mergeCell ref="C35:D35"/>
    <mergeCell ref="E35:K35"/>
    <mergeCell ref="L35:M35"/>
    <mergeCell ref="N35:O35"/>
    <mergeCell ref="P38:R38"/>
    <mergeCell ref="K21:O21"/>
    <mergeCell ref="K27:O27"/>
    <mergeCell ref="K22:O22"/>
    <mergeCell ref="K25:O25"/>
    <mergeCell ref="R35:S35"/>
    <mergeCell ref="E36:K36"/>
    <mergeCell ref="L36:M36"/>
    <mergeCell ref="N36:O36"/>
    <mergeCell ref="R36:S36"/>
    <mergeCell ref="E37:K37"/>
    <mergeCell ref="L37:M37"/>
    <mergeCell ref="N37:O37"/>
    <mergeCell ref="R37:S37"/>
    <mergeCell ref="E22:G22"/>
    <mergeCell ref="E30:G30"/>
    <mergeCell ref="H30:J30"/>
    <mergeCell ref="H28:J28"/>
    <mergeCell ref="B31:S31"/>
    <mergeCell ref="R33:S33"/>
    <mergeCell ref="K20:O20"/>
    <mergeCell ref="H20:J20"/>
    <mergeCell ref="B21:D21"/>
    <mergeCell ref="K19:O19"/>
    <mergeCell ref="N38:O38"/>
    <mergeCell ref="K30:O30"/>
    <mergeCell ref="K29:O29"/>
    <mergeCell ref="K28:O28"/>
    <mergeCell ref="C36:D36"/>
    <mergeCell ref="C37:D37"/>
    <mergeCell ref="H24:J24"/>
    <mergeCell ref="B23:D23"/>
    <mergeCell ref="E23:G23"/>
    <mergeCell ref="H21:J21"/>
    <mergeCell ref="B20:D20"/>
    <mergeCell ref="E20:G20"/>
    <mergeCell ref="H22:J22"/>
    <mergeCell ref="B22:D22"/>
    <mergeCell ref="B28:D28"/>
    <mergeCell ref="B29:D29"/>
    <mergeCell ref="E29:G29"/>
    <mergeCell ref="H29:J29"/>
    <mergeCell ref="E28:G28"/>
    <mergeCell ref="B30:D30"/>
    <mergeCell ref="B14:J14"/>
    <mergeCell ref="K14:O14"/>
    <mergeCell ref="B15:D15"/>
    <mergeCell ref="E15:G15"/>
    <mergeCell ref="H15:J15"/>
    <mergeCell ref="K15:O15"/>
    <mergeCell ref="B9:S9"/>
    <mergeCell ref="B10:S10"/>
    <mergeCell ref="B11:J11"/>
    <mergeCell ref="B13:J13"/>
    <mergeCell ref="K11:O13"/>
    <mergeCell ref="P11:Q11"/>
    <mergeCell ref="R11:S12"/>
    <mergeCell ref="P12:P13"/>
    <mergeCell ref="Q12:Q13"/>
    <mergeCell ref="K18:O18"/>
    <mergeCell ref="K17:O17"/>
    <mergeCell ref="B18:D18"/>
    <mergeCell ref="E18:G18"/>
    <mergeCell ref="H18:J18"/>
    <mergeCell ref="B16:D16"/>
    <mergeCell ref="E16:G16"/>
    <mergeCell ref="H16:J16"/>
    <mergeCell ref="B17:D17"/>
    <mergeCell ref="E17:G17"/>
    <mergeCell ref="H17:J17"/>
    <mergeCell ref="D43:E43"/>
    <mergeCell ref="G43:H43"/>
    <mergeCell ref="J43:K43"/>
    <mergeCell ref="D42:E42"/>
    <mergeCell ref="G42:H42"/>
    <mergeCell ref="J42:K42"/>
    <mergeCell ref="D41:E41"/>
    <mergeCell ref="G41:H41"/>
    <mergeCell ref="E21:G21"/>
    <mergeCell ref="H23:J23"/>
    <mergeCell ref="K24:O24"/>
    <mergeCell ref="K23:O23"/>
    <mergeCell ref="H27:J27"/>
    <mergeCell ref="B26:D26"/>
    <mergeCell ref="E26:G26"/>
    <mergeCell ref="H26:J26"/>
    <mergeCell ref="K26:O26"/>
    <mergeCell ref="B27:D27"/>
    <mergeCell ref="E27:G27"/>
    <mergeCell ref="B25:D25"/>
    <mergeCell ref="E25:G25"/>
    <mergeCell ref="H25:J25"/>
    <mergeCell ref="B24:D24"/>
    <mergeCell ref="E24:G24"/>
    <mergeCell ref="D47:E47"/>
    <mergeCell ref="G47:H47"/>
    <mergeCell ref="J47:K47"/>
    <mergeCell ref="D44:E44"/>
    <mergeCell ref="G44:H44"/>
    <mergeCell ref="J44:K44"/>
    <mergeCell ref="D45:E45"/>
    <mergeCell ref="G45:H45"/>
    <mergeCell ref="J45:K45"/>
    <mergeCell ref="J41:K41"/>
    <mergeCell ref="D40:E40"/>
    <mergeCell ref="G40:H40"/>
    <mergeCell ref="J40:K40"/>
    <mergeCell ref="D39:E39"/>
    <mergeCell ref="G39:H39"/>
    <mergeCell ref="J39:K39"/>
    <mergeCell ref="D38:E38"/>
    <mergeCell ref="G38:H38"/>
    <mergeCell ref="J38:K38"/>
    <mergeCell ref="P8:S8"/>
    <mergeCell ref="F3:P3"/>
    <mergeCell ref="B6:M6"/>
    <mergeCell ref="O6:S6"/>
    <mergeCell ref="Q2:S5"/>
    <mergeCell ref="F2:P2"/>
    <mergeCell ref="B7:M7"/>
    <mergeCell ref="O7:S7"/>
    <mergeCell ref="B4:P4"/>
    <mergeCell ref="B5:P5"/>
  </mergeCells>
  <phoneticPr fontId="0" type="noConversion"/>
  <printOptions horizontalCentered="1"/>
  <pageMargins left="0.34" right="0.31" top="0.49" bottom="0.56999999999999995" header="0.35" footer="0.5"/>
  <pageSetup paperSize="5" scale="69" orientation="portrait" horizontalDpi="4294967294"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E10" sqref="E10"/>
    </sheetView>
  </sheetViews>
  <sheetFormatPr defaultRowHeight="12.5" x14ac:dyDescent="0.25"/>
  <cols>
    <col min="3" max="3" width="70.54296875" customWidth="1"/>
    <col min="4" max="4" width="5.453125" customWidth="1"/>
    <col min="5" max="5" width="21.26953125" customWidth="1"/>
    <col min="7" max="7" width="14" bestFit="1" customWidth="1"/>
  </cols>
  <sheetData>
    <row r="2" spans="3:8" ht="15.5" x14ac:dyDescent="0.35">
      <c r="C2" s="3138" t="s">
        <v>235</v>
      </c>
      <c r="D2" s="3138"/>
      <c r="E2" s="3138"/>
    </row>
    <row r="3" spans="3:8" ht="15.5" x14ac:dyDescent="0.35">
      <c r="C3" s="3138" t="s">
        <v>262</v>
      </c>
      <c r="D3" s="3138"/>
      <c r="E3" s="3138"/>
    </row>
    <row r="4" spans="3:8" ht="15.5" x14ac:dyDescent="0.35">
      <c r="C4" s="3138" t="s">
        <v>11</v>
      </c>
      <c r="D4" s="3138"/>
      <c r="E4" s="3138"/>
    </row>
    <row r="5" spans="3:8" ht="15.5" x14ac:dyDescent="0.35">
      <c r="C5" s="64"/>
      <c r="D5" s="64"/>
      <c r="E5" s="64"/>
    </row>
    <row r="6" spans="3:8" ht="15.5" x14ac:dyDescent="0.35">
      <c r="C6" s="64"/>
      <c r="D6" s="64"/>
      <c r="E6" s="64"/>
      <c r="G6" s="3137"/>
      <c r="H6" s="3137"/>
    </row>
    <row r="7" spans="3:8" ht="15.5" x14ac:dyDescent="0.35">
      <c r="C7" s="64"/>
      <c r="D7" s="64"/>
      <c r="E7" s="64"/>
    </row>
    <row r="8" spans="3:8" ht="27.75" customHeight="1" x14ac:dyDescent="0.8">
      <c r="C8" s="63" t="s">
        <v>37</v>
      </c>
      <c r="D8" s="64" t="s">
        <v>205</v>
      </c>
      <c r="E8" s="67">
        <f>E9+E11</f>
        <v>9418878620</v>
      </c>
      <c r="G8" s="3137"/>
      <c r="H8" s="3137"/>
    </row>
    <row r="9" spans="3:8" ht="18.75" customHeight="1" x14ac:dyDescent="0.35">
      <c r="C9" s="63" t="s">
        <v>38</v>
      </c>
      <c r="D9" s="64" t="s">
        <v>205</v>
      </c>
      <c r="E9" s="65">
        <f>E10</f>
        <v>3410148230</v>
      </c>
    </row>
    <row r="10" spans="3:8" ht="15.5" x14ac:dyDescent="0.35">
      <c r="C10" s="64" t="s">
        <v>6</v>
      </c>
      <c r="D10" s="64" t="s">
        <v>205</v>
      </c>
      <c r="E10" s="66">
        <f>'RECAP APBD'!W24</f>
        <v>3410148230</v>
      </c>
      <c r="G10" s="62"/>
      <c r="H10" s="62"/>
    </row>
    <row r="11" spans="3:8" ht="24" customHeight="1" x14ac:dyDescent="0.35">
      <c r="C11" s="63" t="s">
        <v>44</v>
      </c>
      <c r="D11" s="64" t="s">
        <v>205</v>
      </c>
      <c r="E11" s="65">
        <f>SUM(E12:E14)</f>
        <v>6008730390</v>
      </c>
    </row>
    <row r="12" spans="3:8" ht="15.5" x14ac:dyDescent="0.35">
      <c r="C12" s="64" t="s">
        <v>6</v>
      </c>
      <c r="D12" s="64" t="s">
        <v>205</v>
      </c>
      <c r="E12" s="66">
        <f>'RECAP APBD'!W26</f>
        <v>712615000</v>
      </c>
      <c r="G12" s="18" t="e">
        <f>'RECAP APBD'!P25:S25</f>
        <v>#VALUE!</v>
      </c>
    </row>
    <row r="13" spans="3:8" ht="15.5" x14ac:dyDescent="0.35">
      <c r="C13" s="64" t="s">
        <v>42</v>
      </c>
      <c r="D13" s="64" t="s">
        <v>205</v>
      </c>
      <c r="E13" s="66">
        <f>'RECAP APBD'!W27</f>
        <v>3492940390</v>
      </c>
    </row>
    <row r="14" spans="3:8" ht="15.5" x14ac:dyDescent="0.35">
      <c r="C14" s="64" t="s">
        <v>43</v>
      </c>
      <c r="D14" s="64" t="s">
        <v>205</v>
      </c>
      <c r="E14" s="66">
        <f>'RECAP APBD'!W28</f>
        <v>1803175000</v>
      </c>
    </row>
    <row r="15" spans="3:8" ht="15.5" x14ac:dyDescent="0.35">
      <c r="C15" s="64"/>
      <c r="D15" s="64"/>
      <c r="E15" s="64"/>
    </row>
    <row r="16" spans="3:8" ht="15.5" x14ac:dyDescent="0.35">
      <c r="C16" s="64"/>
      <c r="D16" s="64"/>
      <c r="E16" s="64"/>
    </row>
    <row r="17" spans="3:7" ht="15.5" x14ac:dyDescent="0.35">
      <c r="C17" s="64" t="s">
        <v>263</v>
      </c>
      <c r="D17" s="64"/>
      <c r="E17" s="64"/>
    </row>
    <row r="18" spans="3:7" ht="15.5" x14ac:dyDescent="0.35">
      <c r="C18" s="64" t="s">
        <v>204</v>
      </c>
      <c r="D18" s="64" t="s">
        <v>205</v>
      </c>
      <c r="E18" s="68" t="e">
        <f>E11-E20</f>
        <v>#REF!</v>
      </c>
    </row>
    <row r="19" spans="3:7" ht="15.5" x14ac:dyDescent="0.35">
      <c r="C19" s="64"/>
      <c r="D19" s="64"/>
      <c r="E19" s="64"/>
    </row>
    <row r="20" spans="3:7" ht="19.5" customHeight="1" x14ac:dyDescent="0.8">
      <c r="C20" s="63" t="s">
        <v>203</v>
      </c>
      <c r="D20" s="63" t="s">
        <v>205</v>
      </c>
      <c r="E20" s="67" t="e">
        <f>SUM(E21:E25)</f>
        <v>#REF!</v>
      </c>
    </row>
    <row r="21" spans="3:7" ht="15.5" x14ac:dyDescent="0.35">
      <c r="C21" s="83" t="e">
        <f>#REF!</f>
        <v>#REF!</v>
      </c>
      <c r="D21" s="64"/>
      <c r="E21" s="66" t="e">
        <f>#REF!</f>
        <v>#REF!</v>
      </c>
      <c r="G21" s="17"/>
    </row>
    <row r="22" spans="3:7" ht="38.25" customHeight="1" x14ac:dyDescent="0.35">
      <c r="C22" s="83" t="e">
        <f>#REF!</f>
        <v>#REF!</v>
      </c>
      <c r="D22" s="64"/>
      <c r="E22" s="66" t="e">
        <f>#REF!</f>
        <v>#REF!</v>
      </c>
    </row>
    <row r="23" spans="3:7" ht="35.25" customHeight="1" x14ac:dyDescent="0.35">
      <c r="C23" s="64" t="e">
        <f>#REF!</f>
        <v>#REF!</v>
      </c>
      <c r="D23" s="64"/>
      <c r="E23" s="66" t="e">
        <f>#REF!</f>
        <v>#REF!</v>
      </c>
    </row>
    <row r="24" spans="3:7" ht="15.5" x14ac:dyDescent="0.35">
      <c r="C24" s="83" t="e">
        <f>#REF!</f>
        <v>#REF!</v>
      </c>
      <c r="D24" s="64"/>
      <c r="E24" s="66" t="e">
        <f>#REF!</f>
        <v>#REF!</v>
      </c>
    </row>
    <row r="25" spans="3:7" ht="21.75" customHeight="1" x14ac:dyDescent="0.25">
      <c r="C25" t="e">
        <f>#REF!</f>
        <v>#REF!</v>
      </c>
      <c r="E25" t="e">
        <f>#REF!</f>
        <v>#REF!</v>
      </c>
    </row>
    <row r="26" spans="3:7" ht="15.5" x14ac:dyDescent="0.35">
      <c r="C26" s="64"/>
      <c r="D26" s="64"/>
      <c r="E26" s="68"/>
    </row>
    <row r="27" spans="3:7" ht="15.5" x14ac:dyDescent="0.35">
      <c r="C27" s="64"/>
      <c r="D27" s="64"/>
      <c r="E27" s="64"/>
    </row>
  </sheetData>
  <mergeCells count="5">
    <mergeCell ref="G8:H8"/>
    <mergeCell ref="C2:E2"/>
    <mergeCell ref="C3:E3"/>
    <mergeCell ref="C4:E4"/>
    <mergeCell ref="G6:H6"/>
  </mergeCells>
  <pageMargins left="0.45" right="0.14000000000000001" top="0.75" bottom="0.75" header="0.3" footer="0.3"/>
  <pageSetup paperSize="9" orientation="portrait" horizont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K7" sqref="K7"/>
    </sheetView>
  </sheetViews>
  <sheetFormatPr defaultRowHeight="12.5" x14ac:dyDescent="0.25"/>
  <cols>
    <col min="1" max="1" width="1.1796875" customWidth="1"/>
    <col min="2" max="2" width="64.453125" customWidth="1"/>
    <col min="3" max="3" width="1.54296875" customWidth="1"/>
    <col min="4" max="4" width="5.54296875" customWidth="1"/>
    <col min="5" max="5" width="16" customWidth="1"/>
  </cols>
  <sheetData>
    <row r="1" spans="2:5" ht="13" x14ac:dyDescent="0.25">
      <c r="B1" s="25" t="s">
        <v>160</v>
      </c>
      <c r="C1" s="26"/>
      <c r="D1" s="33"/>
      <c r="E1" s="33"/>
    </row>
    <row r="2" spans="2:5" ht="13" x14ac:dyDescent="0.25">
      <c r="B2" s="25" t="s">
        <v>152</v>
      </c>
      <c r="C2" s="26"/>
      <c r="D2" s="33"/>
      <c r="E2" s="33"/>
    </row>
    <row r="3" spans="2:5" x14ac:dyDescent="0.25">
      <c r="B3" s="27"/>
      <c r="C3" s="27"/>
      <c r="D3" s="34"/>
      <c r="E3" s="34"/>
    </row>
    <row r="4" spans="2:5" ht="37.5" x14ac:dyDescent="0.25">
      <c r="B4" s="28" t="s">
        <v>153</v>
      </c>
      <c r="C4" s="27"/>
      <c r="D4" s="34"/>
      <c r="E4" s="34"/>
    </row>
    <row r="5" spans="2:5" x14ac:dyDescent="0.25">
      <c r="B5" s="27"/>
      <c r="C5" s="27"/>
      <c r="D5" s="34"/>
      <c r="E5" s="34"/>
    </row>
    <row r="6" spans="2:5" ht="13" x14ac:dyDescent="0.25">
      <c r="B6" s="25" t="s">
        <v>154</v>
      </c>
      <c r="C6" s="26"/>
      <c r="D6" s="33"/>
      <c r="E6" s="35" t="s">
        <v>155</v>
      </c>
    </row>
    <row r="7" spans="2:5" ht="13" thickBot="1" x14ac:dyDescent="0.3">
      <c r="B7" s="27"/>
      <c r="C7" s="27"/>
      <c r="D7" s="34"/>
      <c r="E7" s="34"/>
    </row>
    <row r="8" spans="2:5" ht="50" x14ac:dyDescent="0.25">
      <c r="B8" s="29" t="s">
        <v>156</v>
      </c>
      <c r="C8" s="30"/>
      <c r="D8" s="36"/>
      <c r="E8" s="37">
        <v>4</v>
      </c>
    </row>
    <row r="9" spans="2:5" ht="13" thickBot="1" x14ac:dyDescent="0.3">
      <c r="B9" s="31"/>
      <c r="C9" s="32"/>
      <c r="D9" s="38"/>
      <c r="E9" s="39" t="s">
        <v>157</v>
      </c>
    </row>
    <row r="10" spans="2:5" x14ac:dyDescent="0.25">
      <c r="B10" s="27"/>
      <c r="C10" s="27"/>
      <c r="D10" s="34"/>
      <c r="E10" s="34"/>
    </row>
  </sheetData>
  <hyperlinks>
    <hyperlink ref="E9" location="'PAD'!H72:H75" display="'PAD'!H72:H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W87"/>
  <sheetViews>
    <sheetView view="pageBreakPreview" topLeftCell="A25" zoomScale="73" zoomScaleNormal="70" zoomScaleSheetLayoutView="85" workbookViewId="0">
      <selection activeCell="T41" sqref="T41"/>
    </sheetView>
  </sheetViews>
  <sheetFormatPr defaultRowHeight="12.5" x14ac:dyDescent="0.25"/>
  <cols>
    <col min="1" max="1" width="3.269531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7265625" style="341" customWidth="1"/>
    <col min="12" max="12" width="47.1796875" style="341" customWidth="1"/>
    <col min="13" max="13" width="8.81640625" style="341" customWidth="1"/>
    <col min="14" max="14" width="8" style="341" customWidth="1"/>
    <col min="15" max="15" width="15.1796875" style="341" customWidth="1"/>
    <col min="16" max="16" width="17.1796875" style="341" customWidth="1"/>
    <col min="17" max="17" width="9" style="341" customWidth="1"/>
    <col min="18" max="18" width="8" style="341" customWidth="1"/>
    <col min="19" max="19" width="15.1796875" style="341" customWidth="1"/>
    <col min="20" max="20" width="30.54296875" style="341" customWidth="1"/>
    <col min="21" max="21" width="17" style="341" customWidth="1"/>
    <col min="22" max="22" width="15" style="341" customWidth="1"/>
    <col min="23" max="16384" width="8.7265625" style="341"/>
  </cols>
  <sheetData>
    <row r="1" spans="2:22" ht="13" thickBot="1" x14ac:dyDescent="0.3"/>
    <row r="2" spans="2:22" ht="18.75" customHeight="1" thickTop="1" x14ac:dyDescent="0.25">
      <c r="B2" s="7"/>
      <c r="C2" s="8"/>
      <c r="D2" s="8"/>
      <c r="E2" s="8"/>
      <c r="F2" s="8"/>
      <c r="G2" s="8"/>
      <c r="H2" s="8"/>
      <c r="I2" s="8"/>
      <c r="J2" s="2537" t="s">
        <v>278</v>
      </c>
      <c r="K2" s="2537"/>
      <c r="L2" s="2537"/>
      <c r="M2" s="2537"/>
      <c r="N2" s="2537"/>
      <c r="O2" s="2537"/>
      <c r="P2" s="2537"/>
      <c r="Q2" s="2537"/>
      <c r="R2" s="2537"/>
      <c r="S2" s="2669" t="s">
        <v>277</v>
      </c>
      <c r="T2" s="2670"/>
      <c r="U2" s="2537" t="s">
        <v>372</v>
      </c>
      <c r="V2" s="2538"/>
    </row>
    <row r="3" spans="2:22" ht="18" customHeight="1" thickBot="1" x14ac:dyDescent="0.3">
      <c r="B3" s="98"/>
      <c r="C3" s="97"/>
      <c r="D3" s="97"/>
      <c r="E3" s="97"/>
      <c r="F3" s="97"/>
      <c r="G3" s="97"/>
      <c r="H3" s="97"/>
      <c r="I3" s="97"/>
      <c r="J3" s="2531" t="s">
        <v>114</v>
      </c>
      <c r="K3" s="2531"/>
      <c r="L3" s="2531"/>
      <c r="M3" s="2531"/>
      <c r="N3" s="2531"/>
      <c r="O3" s="2531"/>
      <c r="P3" s="2531"/>
      <c r="Q3" s="2531"/>
      <c r="R3" s="2531"/>
      <c r="S3" s="2671" t="s">
        <v>378</v>
      </c>
      <c r="T3" s="2672"/>
      <c r="U3" s="2653" t="s">
        <v>373</v>
      </c>
      <c r="V3" s="2540"/>
    </row>
    <row r="4" spans="2:22"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2" ht="15" customHeight="1" thickBot="1" x14ac:dyDescent="0.35">
      <c r="B5" s="2657" t="str">
        <f>'RECAP KEGIATAN BL'!B5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2"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2"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2" ht="14.25" customHeight="1" x14ac:dyDescent="0.3">
      <c r="B8" s="2667" t="s">
        <v>375</v>
      </c>
      <c r="C8" s="2668"/>
      <c r="D8" s="2668"/>
      <c r="E8" s="2668"/>
      <c r="F8" s="2668"/>
      <c r="G8" s="2668"/>
      <c r="H8" s="2668"/>
      <c r="I8" s="2668"/>
      <c r="J8" s="2668"/>
      <c r="K8" s="2668"/>
      <c r="L8" s="2668"/>
      <c r="M8" s="2673" t="s">
        <v>379</v>
      </c>
      <c r="N8" s="2673"/>
      <c r="O8" s="2673"/>
      <c r="P8" s="2673"/>
      <c r="Q8" s="2673"/>
      <c r="R8" s="2673"/>
      <c r="S8" s="2673"/>
      <c r="T8" s="2673"/>
      <c r="U8" s="2673"/>
      <c r="V8" s="2674"/>
    </row>
    <row r="9" spans="2:22" ht="22.5" customHeight="1" thickBot="1" x14ac:dyDescent="0.3">
      <c r="B9" s="2650" t="s">
        <v>376</v>
      </c>
      <c r="C9" s="2651"/>
      <c r="D9" s="2651"/>
      <c r="E9" s="2651"/>
      <c r="F9" s="2651"/>
      <c r="G9" s="2651"/>
      <c r="H9" s="2651"/>
      <c r="I9" s="2651"/>
      <c r="J9" s="2651"/>
      <c r="K9" s="2651"/>
      <c r="L9" s="2651"/>
      <c r="M9" s="2651"/>
      <c r="N9" s="2651"/>
      <c r="O9" s="2651"/>
      <c r="P9" s="2651"/>
      <c r="Q9" s="2651"/>
      <c r="R9" s="2651"/>
      <c r="S9" s="2651"/>
      <c r="T9" s="2651"/>
      <c r="U9" s="2651"/>
      <c r="V9" s="2652"/>
    </row>
    <row r="10" spans="2:22" ht="14.25" customHeight="1" x14ac:dyDescent="0.3">
      <c r="B10" s="2678" t="s">
        <v>12</v>
      </c>
      <c r="C10" s="2679"/>
      <c r="D10" s="2679"/>
      <c r="E10" s="2679"/>
      <c r="F10" s="2679"/>
      <c r="G10" s="2679"/>
      <c r="H10" s="2679"/>
      <c r="I10" s="2679"/>
      <c r="J10" s="2679"/>
      <c r="K10" s="2680"/>
      <c r="L10" s="2648" t="s">
        <v>121</v>
      </c>
      <c r="M10" s="2683" t="s">
        <v>270</v>
      </c>
      <c r="N10" s="2684"/>
      <c r="O10" s="2684"/>
      <c r="P10" s="2684"/>
      <c r="Q10" s="2685" t="s">
        <v>269</v>
      </c>
      <c r="R10" s="2686"/>
      <c r="S10" s="2686"/>
      <c r="T10" s="2686"/>
      <c r="U10" s="2638" t="s">
        <v>272</v>
      </c>
      <c r="V10" s="2639"/>
    </row>
    <row r="11" spans="2:22" ht="12.75" customHeight="1" x14ac:dyDescent="0.25">
      <c r="B11" s="2681"/>
      <c r="C11" s="2595"/>
      <c r="D11" s="2595"/>
      <c r="E11" s="2595"/>
      <c r="F11" s="2595"/>
      <c r="G11" s="2595"/>
      <c r="H11" s="2595"/>
      <c r="I11" s="2595"/>
      <c r="J11" s="2595"/>
      <c r="K11" s="2596"/>
      <c r="L11" s="2648"/>
      <c r="M11" s="2640" t="s">
        <v>125</v>
      </c>
      <c r="N11" s="2641"/>
      <c r="O11" s="2642"/>
      <c r="P11" s="342"/>
      <c r="Q11" s="2643" t="s">
        <v>125</v>
      </c>
      <c r="R11" s="2644"/>
      <c r="S11" s="2645"/>
      <c r="T11" s="420"/>
      <c r="U11" s="2600" t="s">
        <v>205</v>
      </c>
      <c r="V11" s="2646" t="s">
        <v>273</v>
      </c>
    </row>
    <row r="12" spans="2:22" ht="12.75" customHeight="1" x14ac:dyDescent="0.25">
      <c r="B12" s="2681"/>
      <c r="C12" s="2595"/>
      <c r="D12" s="2595"/>
      <c r="E12" s="2595"/>
      <c r="F12" s="2595"/>
      <c r="G12" s="2595"/>
      <c r="H12" s="2595"/>
      <c r="I12" s="2595"/>
      <c r="J12" s="2595"/>
      <c r="K12" s="2596"/>
      <c r="L12" s="2648"/>
      <c r="M12" s="2647" t="s">
        <v>127</v>
      </c>
      <c r="N12" s="2687" t="s">
        <v>8</v>
      </c>
      <c r="O12" s="2687" t="s">
        <v>377</v>
      </c>
      <c r="P12" s="115" t="s">
        <v>122</v>
      </c>
      <c r="Q12" s="2690" t="s">
        <v>127</v>
      </c>
      <c r="R12" s="2693" t="s">
        <v>8</v>
      </c>
      <c r="S12" s="2687" t="s">
        <v>377</v>
      </c>
      <c r="T12" s="89" t="s">
        <v>122</v>
      </c>
      <c r="U12" s="2600"/>
      <c r="V12" s="2646"/>
    </row>
    <row r="13" spans="2:22" ht="12.75" customHeight="1" x14ac:dyDescent="0.25">
      <c r="B13" s="2681"/>
      <c r="C13" s="2595"/>
      <c r="D13" s="2595"/>
      <c r="E13" s="2595"/>
      <c r="F13" s="2595"/>
      <c r="G13" s="2595"/>
      <c r="H13" s="2595"/>
      <c r="I13" s="2595"/>
      <c r="J13" s="2595"/>
      <c r="K13" s="2596"/>
      <c r="L13" s="2648"/>
      <c r="M13" s="2648"/>
      <c r="N13" s="2688"/>
      <c r="O13" s="2688"/>
      <c r="P13" s="115" t="s">
        <v>123</v>
      </c>
      <c r="Q13" s="2691"/>
      <c r="R13" s="2694"/>
      <c r="S13" s="2688"/>
      <c r="T13" s="89" t="s">
        <v>123</v>
      </c>
      <c r="U13" s="2600"/>
      <c r="V13" s="2646"/>
    </row>
    <row r="14" spans="2:22" ht="12.75" customHeight="1" x14ac:dyDescent="0.25">
      <c r="B14" s="2682"/>
      <c r="C14" s="2598"/>
      <c r="D14" s="2598"/>
      <c r="E14" s="2598"/>
      <c r="F14" s="2598"/>
      <c r="G14" s="2598"/>
      <c r="H14" s="2598"/>
      <c r="I14" s="2598"/>
      <c r="J14" s="2598"/>
      <c r="K14" s="2599"/>
      <c r="L14" s="2649"/>
      <c r="M14" s="2649"/>
      <c r="N14" s="2689"/>
      <c r="O14" s="2689"/>
      <c r="P14" s="421"/>
      <c r="Q14" s="2692"/>
      <c r="R14" s="2695"/>
      <c r="S14" s="2689"/>
      <c r="T14" s="422"/>
      <c r="U14" s="2600"/>
      <c r="V14" s="2646"/>
    </row>
    <row r="15" spans="2:22" ht="13" thickBot="1" x14ac:dyDescent="0.3">
      <c r="B15" s="2675">
        <v>1</v>
      </c>
      <c r="C15" s="2676"/>
      <c r="D15" s="2676"/>
      <c r="E15" s="2676"/>
      <c r="F15" s="2676"/>
      <c r="G15" s="2676"/>
      <c r="H15" s="2676"/>
      <c r="I15" s="2676"/>
      <c r="J15" s="2676"/>
      <c r="K15" s="2677"/>
      <c r="L15" s="146">
        <v>2</v>
      </c>
      <c r="M15" s="146">
        <v>3</v>
      </c>
      <c r="N15" s="146">
        <v>4</v>
      </c>
      <c r="O15" s="2">
        <v>5</v>
      </c>
      <c r="P15" s="334" t="s">
        <v>7</v>
      </c>
      <c r="Q15" s="147">
        <v>7</v>
      </c>
      <c r="R15" s="147">
        <v>8</v>
      </c>
      <c r="S15" s="86">
        <v>9</v>
      </c>
      <c r="T15" s="90" t="s">
        <v>275</v>
      </c>
      <c r="U15" s="92" t="s">
        <v>274</v>
      </c>
      <c r="V15" s="93">
        <v>12</v>
      </c>
    </row>
    <row r="16" spans="2:22" ht="13" thickTop="1" x14ac:dyDescent="0.25">
      <c r="B16" s="119">
        <v>1</v>
      </c>
      <c r="C16" s="124" t="s">
        <v>239</v>
      </c>
      <c r="D16" s="124" t="s">
        <v>84</v>
      </c>
      <c r="E16" s="124" t="s">
        <v>17</v>
      </c>
      <c r="F16" s="124" t="s">
        <v>17</v>
      </c>
      <c r="G16" s="125">
        <v>5</v>
      </c>
      <c r="H16" s="120"/>
      <c r="I16" s="120"/>
      <c r="J16" s="120"/>
      <c r="K16" s="120"/>
      <c r="L16" s="423" t="s">
        <v>37</v>
      </c>
      <c r="M16" s="480"/>
      <c r="N16" s="480"/>
      <c r="O16" s="480"/>
      <c r="P16" s="481">
        <f>P17</f>
        <v>3410148230</v>
      </c>
      <c r="Q16" s="480"/>
      <c r="R16" s="480"/>
      <c r="S16" s="480"/>
      <c r="T16" s="481">
        <f>T17</f>
        <v>3420394439</v>
      </c>
      <c r="U16" s="424">
        <f>T16-P16</f>
        <v>10246209</v>
      </c>
      <c r="V16" s="425"/>
    </row>
    <row r="17" spans="2:22" x14ac:dyDescent="0.25">
      <c r="B17" s="121">
        <v>1</v>
      </c>
      <c r="C17" s="126" t="s">
        <v>239</v>
      </c>
      <c r="D17" s="126" t="s">
        <v>84</v>
      </c>
      <c r="E17" s="126" t="s">
        <v>17</v>
      </c>
      <c r="F17" s="126" t="s">
        <v>17</v>
      </c>
      <c r="G17" s="127">
        <v>5</v>
      </c>
      <c r="H17" s="122">
        <v>1</v>
      </c>
      <c r="I17" s="122"/>
      <c r="J17" s="122"/>
      <c r="K17" s="122"/>
      <c r="L17" s="426" t="s">
        <v>53</v>
      </c>
      <c r="M17" s="482"/>
      <c r="N17" s="482"/>
      <c r="O17" s="483"/>
      <c r="P17" s="472">
        <f>P19</f>
        <v>3410148230</v>
      </c>
      <c r="Q17" s="482"/>
      <c r="R17" s="482"/>
      <c r="S17" s="483"/>
      <c r="T17" s="472">
        <f>T19</f>
        <v>3420394439</v>
      </c>
      <c r="U17" s="428"/>
      <c r="V17" s="429"/>
    </row>
    <row r="18" spans="2:22" x14ac:dyDescent="0.25">
      <c r="B18" s="121"/>
      <c r="C18" s="127"/>
      <c r="D18" s="127"/>
      <c r="E18" s="127"/>
      <c r="F18" s="127"/>
      <c r="G18" s="127"/>
      <c r="H18" s="122"/>
      <c r="I18" s="122"/>
      <c r="J18" s="122"/>
      <c r="K18" s="122"/>
      <c r="L18" s="430"/>
      <c r="M18" s="478"/>
      <c r="N18" s="478"/>
      <c r="O18" s="478"/>
      <c r="P18" s="484"/>
      <c r="Q18" s="478"/>
      <c r="R18" s="478"/>
      <c r="S18" s="478"/>
      <c r="T18" s="484"/>
      <c r="U18" s="428"/>
      <c r="V18" s="429"/>
    </row>
    <row r="19" spans="2:22" x14ac:dyDescent="0.25">
      <c r="B19" s="121">
        <v>1</v>
      </c>
      <c r="C19" s="126" t="s">
        <v>239</v>
      </c>
      <c r="D19" s="126" t="s">
        <v>84</v>
      </c>
      <c r="E19" s="126" t="s">
        <v>17</v>
      </c>
      <c r="F19" s="126" t="s">
        <v>17</v>
      </c>
      <c r="G19" s="127">
        <v>5</v>
      </c>
      <c r="H19" s="122">
        <v>1</v>
      </c>
      <c r="I19" s="122">
        <v>1</v>
      </c>
      <c r="J19" s="122"/>
      <c r="K19" s="122"/>
      <c r="L19" s="430" t="s">
        <v>39</v>
      </c>
      <c r="M19" s="478"/>
      <c r="N19" s="478"/>
      <c r="O19" s="478"/>
      <c r="P19" s="472">
        <f>P20+P41</f>
        <v>3410148230</v>
      </c>
      <c r="Q19" s="478"/>
      <c r="R19" s="478"/>
      <c r="S19" s="478"/>
      <c r="T19" s="472">
        <f>T20+T41</f>
        <v>3420394439</v>
      </c>
      <c r="U19" s="428"/>
      <c r="V19" s="429"/>
    </row>
    <row r="20" spans="2:22" x14ac:dyDescent="0.25">
      <c r="B20" s="121">
        <v>1</v>
      </c>
      <c r="C20" s="126" t="s">
        <v>239</v>
      </c>
      <c r="D20" s="126" t="s">
        <v>84</v>
      </c>
      <c r="E20" s="126" t="s">
        <v>17</v>
      </c>
      <c r="F20" s="126" t="s">
        <v>17</v>
      </c>
      <c r="G20" s="127">
        <v>5</v>
      </c>
      <c r="H20" s="122">
        <v>1</v>
      </c>
      <c r="I20" s="122">
        <v>1</v>
      </c>
      <c r="J20" s="122" t="s">
        <v>33</v>
      </c>
      <c r="K20" s="123"/>
      <c r="L20" s="430" t="s">
        <v>40</v>
      </c>
      <c r="M20" s="478"/>
      <c r="N20" s="478"/>
      <c r="O20" s="478"/>
      <c r="P20" s="472">
        <f>SUM(P21:P39)</f>
        <v>2142048230</v>
      </c>
      <c r="Q20" s="478"/>
      <c r="R20" s="478"/>
      <c r="S20" s="478"/>
      <c r="T20" s="472">
        <f>SUM(T21:T39)</f>
        <v>1993301539</v>
      </c>
      <c r="U20" s="428"/>
      <c r="V20" s="429"/>
    </row>
    <row r="21" spans="2:22" x14ac:dyDescent="0.25">
      <c r="B21" s="121">
        <v>1</v>
      </c>
      <c r="C21" s="126" t="s">
        <v>239</v>
      </c>
      <c r="D21" s="126" t="s">
        <v>84</v>
      </c>
      <c r="E21" s="126" t="s">
        <v>17</v>
      </c>
      <c r="F21" s="126" t="s">
        <v>17</v>
      </c>
      <c r="G21" s="127">
        <v>5</v>
      </c>
      <c r="H21" s="122">
        <v>1</v>
      </c>
      <c r="I21" s="122">
        <v>1</v>
      </c>
      <c r="J21" s="122" t="s">
        <v>33</v>
      </c>
      <c r="K21" s="122" t="s">
        <v>33</v>
      </c>
      <c r="L21" s="431" t="s">
        <v>9</v>
      </c>
      <c r="M21" s="473">
        <v>1</v>
      </c>
      <c r="N21" s="474" t="s">
        <v>139</v>
      </c>
      <c r="O21" s="477">
        <v>1633118500</v>
      </c>
      <c r="P21" s="128">
        <f>O21*M21</f>
        <v>1633118500</v>
      </c>
      <c r="Q21" s="473">
        <v>1</v>
      </c>
      <c r="R21" s="474" t="s">
        <v>139</v>
      </c>
      <c r="S21" s="477">
        <v>1516467179</v>
      </c>
      <c r="T21" s="128">
        <f>S21*Q21</f>
        <v>1516467179</v>
      </c>
      <c r="U21" s="428"/>
      <c r="V21" s="429"/>
    </row>
    <row r="22" spans="2:22" x14ac:dyDescent="0.25">
      <c r="B22" s="121"/>
      <c r="C22" s="127"/>
      <c r="D22" s="127"/>
      <c r="E22" s="127"/>
      <c r="F22" s="127"/>
      <c r="G22" s="127"/>
      <c r="H22" s="122"/>
      <c r="I22" s="122"/>
      <c r="J22" s="122"/>
      <c r="K22" s="122"/>
      <c r="L22" s="432"/>
      <c r="M22" s="473"/>
      <c r="N22" s="474"/>
      <c r="O22" s="477"/>
      <c r="P22" s="128"/>
      <c r="Q22" s="473"/>
      <c r="R22" s="474"/>
      <c r="S22" s="477"/>
      <c r="T22" s="128"/>
      <c r="U22" s="428"/>
      <c r="V22" s="429"/>
    </row>
    <row r="23" spans="2:22" x14ac:dyDescent="0.25">
      <c r="B23" s="121">
        <v>1</v>
      </c>
      <c r="C23" s="126" t="s">
        <v>239</v>
      </c>
      <c r="D23" s="126" t="s">
        <v>84</v>
      </c>
      <c r="E23" s="126" t="s">
        <v>17</v>
      </c>
      <c r="F23" s="126" t="s">
        <v>17</v>
      </c>
      <c r="G23" s="127">
        <v>5</v>
      </c>
      <c r="H23" s="122">
        <v>1</v>
      </c>
      <c r="I23" s="122">
        <v>1</v>
      </c>
      <c r="J23" s="122" t="s">
        <v>33</v>
      </c>
      <c r="K23" s="122" t="s">
        <v>35</v>
      </c>
      <c r="L23" s="431" t="s">
        <v>45</v>
      </c>
      <c r="M23" s="473">
        <v>1</v>
      </c>
      <c r="N23" s="474" t="s">
        <v>139</v>
      </c>
      <c r="O23" s="484">
        <v>151710052</v>
      </c>
      <c r="P23" s="128">
        <f>O23*M23</f>
        <v>151710052</v>
      </c>
      <c r="Q23" s="473">
        <v>1</v>
      </c>
      <c r="R23" s="474" t="s">
        <v>139</v>
      </c>
      <c r="S23" s="484">
        <v>140873620</v>
      </c>
      <c r="T23" s="128">
        <f>S23*Q23</f>
        <v>140873620</v>
      </c>
      <c r="U23" s="428"/>
      <c r="V23" s="429"/>
    </row>
    <row r="24" spans="2:22" x14ac:dyDescent="0.25">
      <c r="B24" s="121"/>
      <c r="C24" s="127"/>
      <c r="D24" s="127"/>
      <c r="E24" s="127"/>
      <c r="F24" s="127"/>
      <c r="G24" s="127"/>
      <c r="H24" s="122"/>
      <c r="I24" s="122"/>
      <c r="J24" s="122"/>
      <c r="K24" s="122"/>
      <c r="L24" s="432"/>
      <c r="M24" s="473"/>
      <c r="N24" s="474"/>
      <c r="O24" s="484"/>
      <c r="P24" s="128"/>
      <c r="Q24" s="473"/>
      <c r="R24" s="474"/>
      <c r="S24" s="484"/>
      <c r="T24" s="128"/>
      <c r="U24" s="428"/>
      <c r="V24" s="429"/>
    </row>
    <row r="25" spans="2:22" x14ac:dyDescent="0.25">
      <c r="B25" s="121">
        <v>1</v>
      </c>
      <c r="C25" s="126" t="s">
        <v>239</v>
      </c>
      <c r="D25" s="126" t="s">
        <v>84</v>
      </c>
      <c r="E25" s="126" t="s">
        <v>17</v>
      </c>
      <c r="F25" s="126" t="s">
        <v>17</v>
      </c>
      <c r="G25" s="127">
        <v>5</v>
      </c>
      <c r="H25" s="122">
        <v>1</v>
      </c>
      <c r="I25" s="122">
        <v>1</v>
      </c>
      <c r="J25" s="122" t="s">
        <v>33</v>
      </c>
      <c r="K25" s="122" t="s">
        <v>36</v>
      </c>
      <c r="L25" s="431" t="s">
        <v>5</v>
      </c>
      <c r="M25" s="473">
        <v>1</v>
      </c>
      <c r="N25" s="474" t="s">
        <v>139</v>
      </c>
      <c r="O25" s="475">
        <v>177880000</v>
      </c>
      <c r="P25" s="128">
        <f>O25*M25</f>
        <v>177880000</v>
      </c>
      <c r="Q25" s="473">
        <v>1</v>
      </c>
      <c r="R25" s="474" t="s">
        <v>139</v>
      </c>
      <c r="S25" s="475">
        <v>165174286</v>
      </c>
      <c r="T25" s="128">
        <f>S25*Q25</f>
        <v>165174286</v>
      </c>
      <c r="U25" s="428"/>
      <c r="V25" s="429"/>
    </row>
    <row r="26" spans="2:22" x14ac:dyDescent="0.25">
      <c r="B26" s="121"/>
      <c r="C26" s="126"/>
      <c r="D26" s="127"/>
      <c r="E26" s="127"/>
      <c r="F26" s="127"/>
      <c r="G26" s="127"/>
      <c r="H26" s="122"/>
      <c r="I26" s="122"/>
      <c r="J26" s="122"/>
      <c r="K26" s="122"/>
      <c r="L26" s="433"/>
      <c r="M26" s="473"/>
      <c r="N26" s="474"/>
      <c r="O26" s="477"/>
      <c r="P26" s="128"/>
      <c r="Q26" s="473"/>
      <c r="R26" s="474"/>
      <c r="S26" s="477"/>
      <c r="T26" s="128"/>
      <c r="U26" s="428"/>
      <c r="V26" s="429"/>
    </row>
    <row r="27" spans="2:22" x14ac:dyDescent="0.25">
      <c r="B27" s="121">
        <v>1</v>
      </c>
      <c r="C27" s="126" t="s">
        <v>239</v>
      </c>
      <c r="D27" s="126" t="s">
        <v>84</v>
      </c>
      <c r="E27" s="126" t="s">
        <v>17</v>
      </c>
      <c r="F27" s="126" t="s">
        <v>17</v>
      </c>
      <c r="G27" s="127">
        <v>5</v>
      </c>
      <c r="H27" s="122">
        <v>1</v>
      </c>
      <c r="I27" s="122">
        <v>1</v>
      </c>
      <c r="J27" s="122" t="s">
        <v>33</v>
      </c>
      <c r="K27" s="123" t="s">
        <v>101</v>
      </c>
      <c r="L27" s="431" t="s">
        <v>46</v>
      </c>
      <c r="M27" s="473">
        <v>1</v>
      </c>
      <c r="N27" s="474" t="s">
        <v>139</v>
      </c>
      <c r="O27" s="475">
        <v>39095000</v>
      </c>
      <c r="P27" s="128">
        <f>O27*M27</f>
        <v>39095000</v>
      </c>
      <c r="Q27" s="473">
        <v>1</v>
      </c>
      <c r="R27" s="474" t="s">
        <v>139</v>
      </c>
      <c r="S27" s="475">
        <v>36302500</v>
      </c>
      <c r="T27" s="128">
        <f>S27*Q27</f>
        <v>36302500</v>
      </c>
      <c r="U27" s="428"/>
      <c r="V27" s="429"/>
    </row>
    <row r="28" spans="2:22" x14ac:dyDescent="0.25">
      <c r="B28" s="121"/>
      <c r="C28" s="127"/>
      <c r="D28" s="127"/>
      <c r="E28" s="127"/>
      <c r="F28" s="127"/>
      <c r="G28" s="127"/>
      <c r="H28" s="122"/>
      <c r="I28" s="122"/>
      <c r="J28" s="122"/>
      <c r="K28" s="122"/>
      <c r="L28" s="427"/>
      <c r="M28" s="473"/>
      <c r="N28" s="474"/>
      <c r="O28" s="477"/>
      <c r="P28" s="128"/>
      <c r="Q28" s="473"/>
      <c r="R28" s="474"/>
      <c r="S28" s="477"/>
      <c r="T28" s="128"/>
      <c r="U28" s="428"/>
      <c r="V28" s="429"/>
    </row>
    <row r="29" spans="2:22" x14ac:dyDescent="0.25">
      <c r="B29" s="121">
        <v>1</v>
      </c>
      <c r="C29" s="126" t="s">
        <v>239</v>
      </c>
      <c r="D29" s="126" t="s">
        <v>84</v>
      </c>
      <c r="E29" s="126" t="s">
        <v>17</v>
      </c>
      <c r="F29" s="126" t="s">
        <v>17</v>
      </c>
      <c r="G29" s="127">
        <v>5</v>
      </c>
      <c r="H29" s="122">
        <v>1</v>
      </c>
      <c r="I29" s="122">
        <v>1</v>
      </c>
      <c r="J29" s="122" t="s">
        <v>33</v>
      </c>
      <c r="K29" s="122" t="s">
        <v>63</v>
      </c>
      <c r="L29" s="431" t="s">
        <v>47</v>
      </c>
      <c r="M29" s="473">
        <v>1</v>
      </c>
      <c r="N29" s="474" t="s">
        <v>139</v>
      </c>
      <c r="O29" s="475">
        <v>77199720</v>
      </c>
      <c r="P29" s="128">
        <f>O29*M29</f>
        <v>77199720</v>
      </c>
      <c r="Q29" s="473">
        <v>1</v>
      </c>
      <c r="R29" s="474" t="s">
        <v>139</v>
      </c>
      <c r="S29" s="475">
        <v>71685454</v>
      </c>
      <c r="T29" s="128">
        <f>S29*Q29</f>
        <v>71685454</v>
      </c>
      <c r="U29" s="428"/>
      <c r="V29" s="429"/>
    </row>
    <row r="30" spans="2:22" x14ac:dyDescent="0.25">
      <c r="B30" s="121"/>
      <c r="C30" s="127"/>
      <c r="D30" s="127"/>
      <c r="E30" s="127"/>
      <c r="F30" s="127"/>
      <c r="G30" s="127"/>
      <c r="H30" s="122"/>
      <c r="I30" s="122"/>
      <c r="J30" s="122"/>
      <c r="K30" s="122"/>
      <c r="L30" s="427"/>
      <c r="M30" s="473"/>
      <c r="N30" s="474"/>
      <c r="O30" s="477"/>
      <c r="P30" s="128"/>
      <c r="Q30" s="473"/>
      <c r="R30" s="474"/>
      <c r="S30" s="477"/>
      <c r="T30" s="128"/>
      <c r="U30" s="428"/>
      <c r="V30" s="429"/>
    </row>
    <row r="31" spans="2:22" x14ac:dyDescent="0.25">
      <c r="B31" s="121">
        <v>1</v>
      </c>
      <c r="C31" s="126" t="s">
        <v>239</v>
      </c>
      <c r="D31" s="126" t="s">
        <v>84</v>
      </c>
      <c r="E31" s="126" t="s">
        <v>17</v>
      </c>
      <c r="F31" s="126" t="s">
        <v>17</v>
      </c>
      <c r="G31" s="127">
        <v>5</v>
      </c>
      <c r="H31" s="122">
        <v>1</v>
      </c>
      <c r="I31" s="122">
        <v>1</v>
      </c>
      <c r="J31" s="122" t="s">
        <v>33</v>
      </c>
      <c r="K31" s="122" t="s">
        <v>34</v>
      </c>
      <c r="L31" s="431" t="s">
        <v>48</v>
      </c>
      <c r="M31" s="473">
        <v>1</v>
      </c>
      <c r="N31" s="474" t="s">
        <v>139</v>
      </c>
      <c r="O31" s="475">
        <v>3424371</v>
      </c>
      <c r="P31" s="128">
        <f>O31*M31</f>
        <v>3424371</v>
      </c>
      <c r="Q31" s="473">
        <v>1</v>
      </c>
      <c r="R31" s="474" t="s">
        <v>139</v>
      </c>
      <c r="S31" s="475">
        <v>3179773</v>
      </c>
      <c r="T31" s="128">
        <f>S31*Q31</f>
        <v>3179773</v>
      </c>
      <c r="U31" s="428"/>
      <c r="V31" s="429"/>
    </row>
    <row r="32" spans="2:22" x14ac:dyDescent="0.25">
      <c r="B32" s="121"/>
      <c r="C32" s="127"/>
      <c r="D32" s="127"/>
      <c r="E32" s="127"/>
      <c r="F32" s="127"/>
      <c r="G32" s="127"/>
      <c r="H32" s="122"/>
      <c r="I32" s="122"/>
      <c r="J32" s="122"/>
      <c r="K32" s="122"/>
      <c r="L32" s="427"/>
      <c r="M32" s="473"/>
      <c r="N32" s="474"/>
      <c r="O32" s="477"/>
      <c r="P32" s="128"/>
      <c r="Q32" s="473"/>
      <c r="R32" s="474"/>
      <c r="S32" s="477"/>
      <c r="T32" s="128"/>
      <c r="U32" s="428"/>
      <c r="V32" s="429"/>
    </row>
    <row r="33" spans="2:22" x14ac:dyDescent="0.25">
      <c r="B33" s="121">
        <v>1</v>
      </c>
      <c r="C33" s="126" t="s">
        <v>239</v>
      </c>
      <c r="D33" s="126" t="s">
        <v>84</v>
      </c>
      <c r="E33" s="126" t="s">
        <v>17</v>
      </c>
      <c r="F33" s="126" t="s">
        <v>17</v>
      </c>
      <c r="G33" s="127">
        <v>5</v>
      </c>
      <c r="H33" s="122">
        <v>1</v>
      </c>
      <c r="I33" s="122">
        <v>1</v>
      </c>
      <c r="J33" s="122" t="s">
        <v>33</v>
      </c>
      <c r="K33" s="123" t="s">
        <v>99</v>
      </c>
      <c r="L33" s="431" t="s">
        <v>49</v>
      </c>
      <c r="M33" s="473">
        <v>1</v>
      </c>
      <c r="N33" s="474" t="s">
        <v>139</v>
      </c>
      <c r="O33" s="475">
        <v>26046</v>
      </c>
      <c r="P33" s="128">
        <f>O33*M33</f>
        <v>26046</v>
      </c>
      <c r="Q33" s="473">
        <v>1</v>
      </c>
      <c r="R33" s="474" t="s">
        <v>139</v>
      </c>
      <c r="S33" s="475">
        <v>24186</v>
      </c>
      <c r="T33" s="128">
        <f>S33*Q33</f>
        <v>24186</v>
      </c>
      <c r="U33" s="428"/>
      <c r="V33" s="429"/>
    </row>
    <row r="34" spans="2:22" x14ac:dyDescent="0.25">
      <c r="B34" s="121"/>
      <c r="C34" s="126"/>
      <c r="D34" s="126"/>
      <c r="E34" s="126"/>
      <c r="F34" s="126"/>
      <c r="G34" s="127"/>
      <c r="H34" s="122"/>
      <c r="I34" s="122"/>
      <c r="J34" s="122"/>
      <c r="K34" s="123"/>
      <c r="L34" s="431"/>
      <c r="M34" s="473"/>
      <c r="N34" s="474"/>
      <c r="O34" s="475"/>
      <c r="P34" s="128"/>
      <c r="Q34" s="473"/>
      <c r="R34" s="474"/>
      <c r="S34" s="475"/>
      <c r="T34" s="128"/>
      <c r="U34" s="428"/>
      <c r="V34" s="429"/>
    </row>
    <row r="35" spans="2:22" x14ac:dyDescent="0.25">
      <c r="B35" s="121"/>
      <c r="C35" s="126"/>
      <c r="D35" s="126"/>
      <c r="E35" s="126"/>
      <c r="F35" s="126"/>
      <c r="G35" s="127"/>
      <c r="H35" s="122"/>
      <c r="I35" s="122">
        <v>1</v>
      </c>
      <c r="J35" s="122" t="s">
        <v>33</v>
      </c>
      <c r="K35" s="123" t="s">
        <v>94</v>
      </c>
      <c r="L35" s="431" t="s">
        <v>428</v>
      </c>
      <c r="M35" s="473">
        <v>1</v>
      </c>
      <c r="N35" s="474" t="s">
        <v>139</v>
      </c>
      <c r="O35" s="475">
        <v>46097650</v>
      </c>
      <c r="P35" s="128">
        <f>O35*M35</f>
        <v>46097650</v>
      </c>
      <c r="Q35" s="473">
        <v>1</v>
      </c>
      <c r="R35" s="474" t="s">
        <v>139</v>
      </c>
      <c r="S35" s="475">
        <v>46097650</v>
      </c>
      <c r="T35" s="128">
        <f>S35*Q35</f>
        <v>46097650</v>
      </c>
      <c r="U35" s="428"/>
      <c r="V35" s="429"/>
    </row>
    <row r="36" spans="2:22" x14ac:dyDescent="0.25">
      <c r="B36" s="121"/>
      <c r="C36" s="126"/>
      <c r="D36" s="126"/>
      <c r="E36" s="126"/>
      <c r="F36" s="126"/>
      <c r="G36" s="127"/>
      <c r="H36" s="122"/>
      <c r="I36" s="122"/>
      <c r="J36" s="122"/>
      <c r="K36" s="122"/>
      <c r="L36" s="427"/>
      <c r="M36" s="473"/>
      <c r="N36" s="474"/>
      <c r="O36" s="475"/>
      <c r="P36" s="128"/>
      <c r="Q36" s="473"/>
      <c r="R36" s="474"/>
      <c r="S36" s="475"/>
      <c r="T36" s="128"/>
      <c r="U36" s="428"/>
      <c r="V36" s="429"/>
    </row>
    <row r="37" spans="2:22" x14ac:dyDescent="0.25">
      <c r="B37" s="121">
        <v>1</v>
      </c>
      <c r="C37" s="126" t="s">
        <v>239</v>
      </c>
      <c r="D37" s="126" t="s">
        <v>84</v>
      </c>
      <c r="E37" s="126" t="s">
        <v>17</v>
      </c>
      <c r="F37" s="126" t="s">
        <v>17</v>
      </c>
      <c r="G37" s="127">
        <v>5</v>
      </c>
      <c r="H37" s="122">
        <v>1</v>
      </c>
      <c r="I37" s="122">
        <v>1</v>
      </c>
      <c r="J37" s="122" t="s">
        <v>33</v>
      </c>
      <c r="K37" s="122">
        <v>21</v>
      </c>
      <c r="L37" s="431" t="s">
        <v>267</v>
      </c>
      <c r="M37" s="473">
        <v>1</v>
      </c>
      <c r="N37" s="474" t="s">
        <v>139</v>
      </c>
      <c r="O37" s="475">
        <v>3374223</v>
      </c>
      <c r="P37" s="128">
        <f>O37*M37</f>
        <v>3374223</v>
      </c>
      <c r="Q37" s="473">
        <v>1</v>
      </c>
      <c r="R37" s="474" t="s">
        <v>139</v>
      </c>
      <c r="S37" s="475">
        <v>3374223</v>
      </c>
      <c r="T37" s="128">
        <f>S37*Q37</f>
        <v>3374223</v>
      </c>
      <c r="U37" s="428"/>
      <c r="V37" s="429"/>
    </row>
    <row r="38" spans="2:22" x14ac:dyDescent="0.25">
      <c r="B38" s="121"/>
      <c r="C38" s="126"/>
      <c r="D38" s="126"/>
      <c r="E38" s="126"/>
      <c r="F38" s="126"/>
      <c r="G38" s="127"/>
      <c r="H38" s="122"/>
      <c r="I38" s="122"/>
      <c r="J38" s="122"/>
      <c r="K38" s="122"/>
      <c r="L38" s="431"/>
      <c r="M38" s="473"/>
      <c r="N38" s="474"/>
      <c r="O38" s="475"/>
      <c r="P38" s="128"/>
      <c r="Q38" s="473"/>
      <c r="R38" s="474"/>
      <c r="S38" s="475"/>
      <c r="T38" s="128"/>
      <c r="U38" s="428"/>
      <c r="V38" s="429"/>
    </row>
    <row r="39" spans="2:22" x14ac:dyDescent="0.25">
      <c r="B39" s="121">
        <v>1</v>
      </c>
      <c r="C39" s="126" t="s">
        <v>239</v>
      </c>
      <c r="D39" s="126" t="s">
        <v>84</v>
      </c>
      <c r="E39" s="126" t="s">
        <v>17</v>
      </c>
      <c r="F39" s="126" t="s">
        <v>17</v>
      </c>
      <c r="G39" s="127">
        <v>5</v>
      </c>
      <c r="H39" s="122">
        <v>1</v>
      </c>
      <c r="I39" s="122">
        <v>1</v>
      </c>
      <c r="J39" s="122" t="s">
        <v>33</v>
      </c>
      <c r="K39" s="122">
        <v>22</v>
      </c>
      <c r="L39" s="431" t="s">
        <v>268</v>
      </c>
      <c r="M39" s="473">
        <v>1</v>
      </c>
      <c r="N39" s="474" t="s">
        <v>139</v>
      </c>
      <c r="O39" s="475">
        <v>10122668</v>
      </c>
      <c r="P39" s="128">
        <f>O39*M39</f>
        <v>10122668</v>
      </c>
      <c r="Q39" s="473">
        <v>1</v>
      </c>
      <c r="R39" s="474" t="s">
        <v>139</v>
      </c>
      <c r="S39" s="475">
        <v>10122668</v>
      </c>
      <c r="T39" s="128">
        <f>S39*Q39</f>
        <v>10122668</v>
      </c>
      <c r="U39" s="428"/>
      <c r="V39" s="429"/>
    </row>
    <row r="40" spans="2:22" x14ac:dyDescent="0.25">
      <c r="B40" s="121"/>
      <c r="C40" s="126"/>
      <c r="D40" s="126"/>
      <c r="E40" s="126"/>
      <c r="F40" s="126"/>
      <c r="G40" s="127"/>
      <c r="H40" s="122"/>
      <c r="I40" s="122"/>
      <c r="J40" s="122"/>
      <c r="K40" s="122"/>
      <c r="L40" s="431"/>
      <c r="M40" s="473"/>
      <c r="N40" s="474"/>
      <c r="O40" s="475"/>
      <c r="P40" s="129"/>
      <c r="Q40" s="473"/>
      <c r="R40" s="474"/>
      <c r="S40" s="475"/>
      <c r="T40" s="129"/>
      <c r="U40" s="428"/>
      <c r="V40" s="429"/>
    </row>
    <row r="41" spans="2:22" x14ac:dyDescent="0.25">
      <c r="B41" s="121">
        <v>1</v>
      </c>
      <c r="C41" s="126" t="s">
        <v>239</v>
      </c>
      <c r="D41" s="126" t="s">
        <v>84</v>
      </c>
      <c r="E41" s="126" t="s">
        <v>17</v>
      </c>
      <c r="F41" s="126" t="s">
        <v>17</v>
      </c>
      <c r="G41" s="127">
        <v>5</v>
      </c>
      <c r="H41" s="122">
        <v>1</v>
      </c>
      <c r="I41" s="122">
        <v>1</v>
      </c>
      <c r="J41" s="122" t="s">
        <v>35</v>
      </c>
      <c r="K41" s="122"/>
      <c r="L41" s="426" t="s">
        <v>50</v>
      </c>
      <c r="M41" s="473"/>
      <c r="N41" s="474"/>
      <c r="O41" s="473"/>
      <c r="P41" s="472">
        <f>P42+P46</f>
        <v>1268100000</v>
      </c>
      <c r="Q41" s="473"/>
      <c r="R41" s="474"/>
      <c r="S41" s="473"/>
      <c r="T41" s="472">
        <f>T42+T46</f>
        <v>1427092900</v>
      </c>
      <c r="U41" s="428"/>
      <c r="V41" s="429"/>
    </row>
    <row r="42" spans="2:22" x14ac:dyDescent="0.25">
      <c r="B42" s="121">
        <v>1</v>
      </c>
      <c r="C42" s="126" t="s">
        <v>239</v>
      </c>
      <c r="D42" s="126" t="s">
        <v>84</v>
      </c>
      <c r="E42" s="126" t="s">
        <v>17</v>
      </c>
      <c r="F42" s="126" t="s">
        <v>17</v>
      </c>
      <c r="G42" s="127">
        <v>5</v>
      </c>
      <c r="H42" s="122">
        <v>1</v>
      </c>
      <c r="I42" s="122">
        <v>1</v>
      </c>
      <c r="J42" s="122" t="s">
        <v>35</v>
      </c>
      <c r="K42" s="122" t="s">
        <v>33</v>
      </c>
      <c r="L42" s="426" t="s">
        <v>51</v>
      </c>
      <c r="M42" s="473"/>
      <c r="N42" s="474"/>
      <c r="O42" s="473"/>
      <c r="P42" s="434">
        <f>SUM(P43:P43)</f>
        <v>18000000</v>
      </c>
      <c r="Q42" s="473"/>
      <c r="R42" s="474"/>
      <c r="S42" s="473"/>
      <c r="T42" s="434">
        <f>SUM(T43:T43)</f>
        <v>31600000</v>
      </c>
      <c r="U42" s="428"/>
      <c r="V42" s="429"/>
    </row>
    <row r="43" spans="2:22" x14ac:dyDescent="0.25">
      <c r="B43" s="121"/>
      <c r="C43" s="127"/>
      <c r="D43" s="127"/>
      <c r="E43" s="127"/>
      <c r="F43" s="127"/>
      <c r="G43" s="127"/>
      <c r="H43" s="122"/>
      <c r="I43" s="122"/>
      <c r="J43" s="122"/>
      <c r="K43" s="122"/>
      <c r="L43" s="427" t="s">
        <v>667</v>
      </c>
      <c r="M43" s="473">
        <v>1</v>
      </c>
      <c r="N43" s="474" t="s">
        <v>139</v>
      </c>
      <c r="O43" s="475">
        <v>18000000</v>
      </c>
      <c r="P43" s="128">
        <f t="shared" ref="P43" si="0">O43*M43</f>
        <v>18000000</v>
      </c>
      <c r="Q43" s="473">
        <v>1</v>
      </c>
      <c r="R43" s="474" t="s">
        <v>139</v>
      </c>
      <c r="S43" s="475">
        <v>31600000</v>
      </c>
      <c r="T43" s="128">
        <f t="shared" ref="T43" si="1">S43*Q43</f>
        <v>31600000</v>
      </c>
      <c r="U43" s="428"/>
      <c r="V43" s="429"/>
    </row>
    <row r="44" spans="2:22" x14ac:dyDescent="0.25">
      <c r="B44" s="121"/>
      <c r="C44" s="127"/>
      <c r="D44" s="127"/>
      <c r="E44" s="127"/>
      <c r="F44" s="127"/>
      <c r="G44" s="127"/>
      <c r="H44" s="122"/>
      <c r="I44" s="122"/>
      <c r="J44" s="122"/>
      <c r="K44" s="122"/>
      <c r="L44" s="427"/>
      <c r="M44" s="473"/>
      <c r="N44" s="474"/>
      <c r="O44" s="476"/>
      <c r="P44" s="129"/>
      <c r="Q44" s="473"/>
      <c r="R44" s="474"/>
      <c r="S44" s="476"/>
      <c r="T44" s="129"/>
      <c r="U44" s="428"/>
      <c r="V44" s="429"/>
    </row>
    <row r="45" spans="2:22" x14ac:dyDescent="0.25">
      <c r="B45" s="121"/>
      <c r="C45" s="126"/>
      <c r="D45" s="126"/>
      <c r="E45" s="126"/>
      <c r="F45" s="126"/>
      <c r="G45" s="127"/>
      <c r="H45" s="122"/>
      <c r="I45" s="122"/>
      <c r="J45" s="122"/>
      <c r="K45" s="122"/>
      <c r="L45" s="435"/>
      <c r="M45" s="473"/>
      <c r="N45" s="474"/>
      <c r="O45" s="477"/>
      <c r="P45" s="128"/>
      <c r="Q45" s="473"/>
      <c r="R45" s="474"/>
      <c r="S45" s="477"/>
      <c r="T45" s="128"/>
      <c r="U45" s="428"/>
      <c r="V45" s="429"/>
    </row>
    <row r="46" spans="2:22" x14ac:dyDescent="0.25">
      <c r="B46" s="121">
        <v>1</v>
      </c>
      <c r="C46" s="126" t="s">
        <v>239</v>
      </c>
      <c r="D46" s="126" t="s">
        <v>84</v>
      </c>
      <c r="E46" s="126" t="s">
        <v>17</v>
      </c>
      <c r="F46" s="126" t="s">
        <v>17</v>
      </c>
      <c r="G46" s="127">
        <v>5</v>
      </c>
      <c r="H46" s="122">
        <v>1</v>
      </c>
      <c r="I46" s="122">
        <v>1</v>
      </c>
      <c r="J46" s="122" t="s">
        <v>35</v>
      </c>
      <c r="K46" s="122" t="s">
        <v>62</v>
      </c>
      <c r="L46" s="430" t="s">
        <v>16</v>
      </c>
      <c r="M46" s="478"/>
      <c r="N46" s="479"/>
      <c r="O46" s="478"/>
      <c r="P46" s="472">
        <f>SUM(P47:P48)</f>
        <v>1250100000</v>
      </c>
      <c r="Q46" s="478"/>
      <c r="R46" s="479"/>
      <c r="S46" s="478"/>
      <c r="T46" s="472">
        <f>SUM(T47:T48)</f>
        <v>1395492900</v>
      </c>
      <c r="U46" s="428"/>
      <c r="V46" s="429"/>
    </row>
    <row r="47" spans="2:22" x14ac:dyDescent="0.25">
      <c r="B47" s="121"/>
      <c r="C47" s="127"/>
      <c r="D47" s="127"/>
      <c r="E47" s="127"/>
      <c r="F47" s="127"/>
      <c r="G47" s="127"/>
      <c r="H47" s="122"/>
      <c r="I47" s="122"/>
      <c r="J47" s="122"/>
      <c r="K47" s="122"/>
      <c r="L47" s="427" t="s">
        <v>668</v>
      </c>
      <c r="M47" s="473">
        <v>1</v>
      </c>
      <c r="N47" s="474" t="s">
        <v>66</v>
      </c>
      <c r="O47" s="477">
        <v>59275000</v>
      </c>
      <c r="P47" s="128">
        <f>O47*M47</f>
        <v>59275000</v>
      </c>
      <c r="Q47" s="473">
        <v>1</v>
      </c>
      <c r="R47" s="474" t="s">
        <v>66</v>
      </c>
      <c r="S47" s="477">
        <v>0</v>
      </c>
      <c r="T47" s="128">
        <f>S47*Q47</f>
        <v>0</v>
      </c>
      <c r="U47" s="428"/>
      <c r="V47" s="429"/>
    </row>
    <row r="48" spans="2:22" x14ac:dyDescent="0.25">
      <c r="B48" s="121"/>
      <c r="C48" s="127"/>
      <c r="D48" s="127"/>
      <c r="E48" s="127"/>
      <c r="F48" s="127"/>
      <c r="G48" s="127"/>
      <c r="H48" s="122"/>
      <c r="I48" s="122"/>
      <c r="J48" s="122"/>
      <c r="K48" s="122"/>
      <c r="L48" s="427" t="s">
        <v>669</v>
      </c>
      <c r="M48" s="473">
        <v>1</v>
      </c>
      <c r="N48" s="474" t="s">
        <v>66</v>
      </c>
      <c r="O48" s="477">
        <v>1190825000</v>
      </c>
      <c r="P48" s="128">
        <f>O48*M48</f>
        <v>1190825000</v>
      </c>
      <c r="Q48" s="473">
        <v>1</v>
      </c>
      <c r="R48" s="474" t="s">
        <v>66</v>
      </c>
      <c r="S48" s="477">
        <v>1395492900</v>
      </c>
      <c r="T48" s="128">
        <f>S48*Q48</f>
        <v>1395492900</v>
      </c>
      <c r="U48" s="428"/>
      <c r="V48" s="429"/>
    </row>
    <row r="49" spans="2:23" x14ac:dyDescent="0.25">
      <c r="B49" s="121"/>
      <c r="C49" s="127"/>
      <c r="D49" s="127"/>
      <c r="E49" s="127"/>
      <c r="F49" s="127"/>
      <c r="G49" s="127"/>
      <c r="H49" s="122"/>
      <c r="I49" s="122"/>
      <c r="J49" s="122"/>
      <c r="K49" s="122"/>
      <c r="L49" s="431"/>
      <c r="M49" s="485"/>
      <c r="N49" s="134"/>
      <c r="O49" s="485"/>
      <c r="P49" s="129"/>
      <c r="Q49" s="485"/>
      <c r="R49" s="134"/>
      <c r="S49" s="485"/>
      <c r="T49" s="129"/>
      <c r="U49" s="428"/>
      <c r="V49" s="429"/>
    </row>
    <row r="50" spans="2:23" ht="14.5" thickBot="1" x14ac:dyDescent="0.3">
      <c r="B50" s="2730" t="s">
        <v>15</v>
      </c>
      <c r="C50" s="2731"/>
      <c r="D50" s="2731"/>
      <c r="E50" s="2731"/>
      <c r="F50" s="2731"/>
      <c r="G50" s="2731"/>
      <c r="H50" s="2731"/>
      <c r="I50" s="2731"/>
      <c r="J50" s="2731"/>
      <c r="K50" s="2731"/>
      <c r="L50" s="2731"/>
      <c r="M50" s="2731"/>
      <c r="N50" s="2731"/>
      <c r="O50" s="2732"/>
      <c r="P50" s="436">
        <f>P16</f>
        <v>3410148230</v>
      </c>
      <c r="Q50" s="2696"/>
      <c r="R50" s="2697"/>
      <c r="S50" s="2698"/>
      <c r="T50" s="437">
        <f>T16</f>
        <v>3420394439</v>
      </c>
      <c r="U50" s="438">
        <f>SUM(U16:U49)</f>
        <v>10246209</v>
      </c>
      <c r="V50" s="439">
        <v>0</v>
      </c>
    </row>
    <row r="51" spans="2:23" ht="13" thickTop="1" x14ac:dyDescent="0.25">
      <c r="B51" s="2699"/>
      <c r="C51" s="2700"/>
      <c r="D51" s="2700"/>
      <c r="E51" s="2700"/>
      <c r="F51" s="2700"/>
      <c r="G51" s="2700"/>
      <c r="H51" s="2700"/>
      <c r="I51" s="2700"/>
      <c r="J51" s="2700"/>
      <c r="K51" s="2700"/>
      <c r="L51" s="2700"/>
      <c r="M51" s="2700"/>
      <c r="N51" s="2700"/>
      <c r="O51" s="2700"/>
      <c r="P51" s="2700"/>
      <c r="Q51" s="2700"/>
      <c r="R51" s="2700"/>
      <c r="S51" s="2700"/>
      <c r="T51" s="2700"/>
      <c r="U51" s="2700"/>
      <c r="V51" s="2701"/>
    </row>
    <row r="52" spans="2:23" x14ac:dyDescent="0.25">
      <c r="B52" s="1325"/>
      <c r="C52" s="1325"/>
      <c r="D52" s="1325"/>
      <c r="E52" s="1325"/>
      <c r="F52" s="1325"/>
      <c r="G52" s="1325"/>
      <c r="H52" s="1325"/>
      <c r="I52" s="1325"/>
      <c r="J52" s="1325"/>
      <c r="K52" s="1325"/>
      <c r="L52" s="1325"/>
      <c r="M52" s="1325"/>
      <c r="N52" s="1325"/>
      <c r="O52" s="1325"/>
      <c r="P52" s="1325"/>
      <c r="Q52" s="1325"/>
      <c r="R52" s="1325"/>
      <c r="S52" s="1325"/>
      <c r="T52" s="1325"/>
      <c r="U52" s="1325"/>
      <c r="V52" s="1325"/>
    </row>
    <row r="53" spans="2:23" ht="12.75" customHeight="1" x14ac:dyDescent="0.25">
      <c r="B53" s="440"/>
      <c r="C53" s="20"/>
      <c r="D53" s="20"/>
      <c r="E53" s="20"/>
      <c r="F53" s="20"/>
      <c r="G53" s="20"/>
      <c r="H53" s="20"/>
      <c r="I53" s="20"/>
      <c r="J53" s="20"/>
      <c r="K53" s="20"/>
      <c r="L53" s="21"/>
      <c r="Q53" s="342"/>
      <c r="S53" s="2702" t="str">
        <f>'RECAP KEGIATAN BL'!I57</f>
        <v>Banda Aceh,               2020</v>
      </c>
      <c r="T53" s="2702"/>
      <c r="U53" s="2702"/>
      <c r="V53" s="19"/>
      <c r="W53" s="100"/>
    </row>
    <row r="54" spans="2:23" x14ac:dyDescent="0.25">
      <c r="B54" s="440"/>
      <c r="C54" s="20"/>
      <c r="D54" s="20"/>
      <c r="E54" s="20"/>
      <c r="F54" s="20"/>
      <c r="G54" s="20"/>
      <c r="H54" s="20"/>
      <c r="I54" s="20"/>
      <c r="J54" s="20"/>
      <c r="K54" s="20"/>
      <c r="L54" s="333" t="s">
        <v>284</v>
      </c>
      <c r="Q54" s="342"/>
      <c r="S54" s="2703" t="str">
        <f>'RECAP KEGIATAN BL'!I58</f>
        <v>Pengguna Anggaran</v>
      </c>
      <c r="T54" s="2703"/>
      <c r="U54" s="2703"/>
      <c r="V54" s="44"/>
      <c r="W54" s="22"/>
    </row>
    <row r="55" spans="2:23" ht="12.75" customHeight="1" x14ac:dyDescent="0.25">
      <c r="B55" s="440"/>
      <c r="C55" s="20"/>
      <c r="D55" s="20"/>
      <c r="E55" s="20"/>
      <c r="F55" s="20"/>
      <c r="G55" s="20"/>
      <c r="H55" s="20"/>
      <c r="I55" s="20"/>
      <c r="J55" s="20"/>
      <c r="K55" s="20"/>
      <c r="L55" s="333" t="s">
        <v>285</v>
      </c>
      <c r="Q55" s="342"/>
      <c r="S55" s="2703" t="str">
        <f>'RECAP KEGIATAN BL'!I59</f>
        <v xml:space="preserve"> Satuan Kerja Perangkat Daerah </v>
      </c>
      <c r="T55" s="2703"/>
      <c r="U55" s="2703"/>
      <c r="V55" s="44"/>
      <c r="W55" s="22"/>
    </row>
    <row r="56" spans="2:23" x14ac:dyDescent="0.25">
      <c r="B56" s="440"/>
      <c r="C56" s="20"/>
      <c r="D56" s="20"/>
      <c r="E56" s="20"/>
      <c r="F56" s="20"/>
      <c r="G56" s="20"/>
      <c r="H56" s="20"/>
      <c r="I56" s="20"/>
      <c r="J56" s="20"/>
      <c r="K56" s="20"/>
      <c r="L56" s="42"/>
      <c r="Q56" s="342"/>
      <c r="S56" s="113"/>
      <c r="T56" s="101"/>
      <c r="U56" s="101"/>
      <c r="V56" s="111"/>
      <c r="W56" s="102"/>
    </row>
    <row r="57" spans="2:23" x14ac:dyDescent="0.25">
      <c r="B57" s="440"/>
      <c r="C57" s="20"/>
      <c r="D57" s="20"/>
      <c r="E57" s="20"/>
      <c r="F57" s="20"/>
      <c r="G57" s="20"/>
      <c r="H57" s="20"/>
      <c r="I57" s="20"/>
      <c r="J57" s="20"/>
      <c r="K57" s="20"/>
      <c r="L57" s="42"/>
      <c r="Q57" s="342"/>
      <c r="S57" s="113"/>
      <c r="T57" s="113"/>
      <c r="U57" s="113"/>
      <c r="V57" s="114"/>
      <c r="W57" s="103"/>
    </row>
    <row r="58" spans="2:23" x14ac:dyDescent="0.25">
      <c r="B58" s="440"/>
      <c r="C58" s="20"/>
      <c r="D58" s="20"/>
      <c r="E58" s="20"/>
      <c r="F58" s="20"/>
      <c r="G58" s="20"/>
      <c r="H58" s="20"/>
      <c r="I58" s="20"/>
      <c r="J58" s="20"/>
      <c r="K58" s="20"/>
      <c r="L58" s="99"/>
      <c r="Q58" s="342"/>
      <c r="S58" s="113"/>
      <c r="T58" s="101"/>
      <c r="U58" s="101"/>
      <c r="V58" s="111"/>
      <c r="W58" s="102"/>
    </row>
    <row r="59" spans="2:23" ht="14" x14ac:dyDescent="0.3">
      <c r="B59" s="440"/>
      <c r="C59" s="20"/>
      <c r="D59" s="20"/>
      <c r="E59" s="20"/>
      <c r="F59" s="20"/>
      <c r="G59" s="20"/>
      <c r="H59" s="20"/>
      <c r="I59" s="20"/>
      <c r="J59" s="20"/>
      <c r="K59" s="20"/>
      <c r="L59" s="112" t="s">
        <v>982</v>
      </c>
      <c r="Q59" s="342"/>
      <c r="S59" s="2704" t="str">
        <f>'RECAP KEGIATAN BL'!I63</f>
        <v>Bustami, SH</v>
      </c>
      <c r="T59" s="2704"/>
      <c r="U59" s="2704"/>
      <c r="V59" s="45"/>
      <c r="W59" s="104"/>
    </row>
    <row r="60" spans="2:23" x14ac:dyDescent="0.25">
      <c r="B60" s="440"/>
      <c r="C60" s="20"/>
      <c r="D60" s="20"/>
      <c r="E60" s="20"/>
      <c r="F60" s="20"/>
      <c r="G60" s="20"/>
      <c r="H60" s="20"/>
      <c r="I60" s="20"/>
      <c r="J60" s="20"/>
      <c r="K60" s="20"/>
      <c r="L60" s="333" t="s">
        <v>983</v>
      </c>
      <c r="Q60" s="342"/>
      <c r="S60" s="2703" t="str">
        <f>'RECAP KEGIATAN BL'!I64</f>
        <v>Pembina Utama Muda / Nip. 196308241987031004</v>
      </c>
      <c r="T60" s="2703"/>
      <c r="U60" s="2703"/>
      <c r="V60" s="44"/>
      <c r="W60" s="22"/>
    </row>
    <row r="61" spans="2:23" x14ac:dyDescent="0.25">
      <c r="B61" s="440"/>
      <c r="C61" s="20"/>
      <c r="D61" s="20"/>
      <c r="E61" s="20"/>
      <c r="F61" s="20"/>
      <c r="G61" s="20"/>
      <c r="H61" s="20"/>
      <c r="I61" s="20"/>
      <c r="J61" s="20"/>
      <c r="K61" s="20"/>
      <c r="L61" s="333"/>
      <c r="Q61" s="342"/>
      <c r="S61" s="333"/>
      <c r="T61" s="333"/>
      <c r="U61" s="333"/>
      <c r="V61" s="441"/>
      <c r="W61" s="21"/>
    </row>
    <row r="62" spans="2:23" ht="14.25" customHeight="1" x14ac:dyDescent="0.25">
      <c r="B62" s="2705" t="s">
        <v>286</v>
      </c>
      <c r="C62" s="2706"/>
      <c r="D62" s="2706"/>
      <c r="E62" s="2706"/>
      <c r="F62" s="2706"/>
      <c r="G62" s="2706"/>
      <c r="H62" s="2706"/>
      <c r="I62" s="2706"/>
      <c r="J62" s="2706"/>
      <c r="K62" s="2706"/>
      <c r="L62" s="2706"/>
      <c r="M62" s="2707" t="s">
        <v>145</v>
      </c>
      <c r="N62" s="2708"/>
      <c r="O62" s="2708"/>
      <c r="P62" s="2708"/>
      <c r="Q62" s="2708"/>
      <c r="R62" s="2708"/>
      <c r="S62" s="2708"/>
      <c r="T62" s="2708"/>
      <c r="U62" s="2708"/>
      <c r="V62" s="2709"/>
    </row>
    <row r="63" spans="2:23" ht="14.25" customHeight="1" x14ac:dyDescent="0.3">
      <c r="B63" s="2710"/>
      <c r="C63" s="2711"/>
      <c r="D63" s="2711"/>
      <c r="E63" s="2711"/>
      <c r="F63" s="2711"/>
      <c r="G63" s="2711"/>
      <c r="H63" s="2711"/>
      <c r="I63" s="2711"/>
      <c r="J63" s="2711"/>
      <c r="K63" s="2711"/>
      <c r="L63" s="2712"/>
      <c r="M63" s="331" t="s">
        <v>142</v>
      </c>
      <c r="N63" s="2713"/>
      <c r="O63" s="2713"/>
      <c r="P63" s="2713"/>
      <c r="Q63" s="2714" t="s">
        <v>143</v>
      </c>
      <c r="R63" s="2714"/>
      <c r="S63" s="2714"/>
      <c r="T63" s="332" t="s">
        <v>144</v>
      </c>
      <c r="U63" s="2714" t="s">
        <v>146</v>
      </c>
      <c r="V63" s="2715"/>
    </row>
    <row r="64" spans="2:23" ht="14.25" customHeight="1" x14ac:dyDescent="0.3">
      <c r="B64" s="2716" t="s">
        <v>293</v>
      </c>
      <c r="C64" s="2717"/>
      <c r="D64" s="2717"/>
      <c r="E64" s="2717"/>
      <c r="F64" s="2717"/>
      <c r="G64" s="2717"/>
      <c r="H64" s="2717"/>
      <c r="I64" s="2717"/>
      <c r="J64" s="2717"/>
      <c r="K64" s="2717"/>
      <c r="L64" s="107">
        <v>0</v>
      </c>
      <c r="M64" s="118">
        <v>1</v>
      </c>
      <c r="N64" s="2718" t="s">
        <v>984</v>
      </c>
      <c r="O64" s="2719"/>
      <c r="P64" s="2719"/>
      <c r="Q64" s="2720" t="s">
        <v>985</v>
      </c>
      <c r="R64" s="2721"/>
      <c r="S64" s="2722"/>
      <c r="T64" s="109" t="s">
        <v>302</v>
      </c>
      <c r="U64" s="442" t="s">
        <v>287</v>
      </c>
      <c r="V64" s="443"/>
    </row>
    <row r="65" spans="2:22" ht="14" x14ac:dyDescent="0.3">
      <c r="B65" s="2716" t="s">
        <v>294</v>
      </c>
      <c r="C65" s="2717"/>
      <c r="D65" s="2717"/>
      <c r="E65" s="2717"/>
      <c r="F65" s="2717"/>
      <c r="G65" s="2717"/>
      <c r="H65" s="2717"/>
      <c r="I65" s="2717"/>
      <c r="J65" s="2717"/>
      <c r="K65" s="2717"/>
      <c r="L65" s="107">
        <v>0</v>
      </c>
      <c r="M65" s="118">
        <v>2</v>
      </c>
      <c r="N65" s="2723" t="s">
        <v>298</v>
      </c>
      <c r="O65" s="2724"/>
      <c r="P65" s="2724"/>
      <c r="Q65" s="2720" t="s">
        <v>309</v>
      </c>
      <c r="R65" s="2721"/>
      <c r="S65" s="2722"/>
      <c r="T65" s="109" t="s">
        <v>303</v>
      </c>
      <c r="U65" s="444"/>
      <c r="V65" s="445" t="s">
        <v>128</v>
      </c>
    </row>
    <row r="66" spans="2:22" ht="14" x14ac:dyDescent="0.3">
      <c r="B66" s="2716" t="s">
        <v>295</v>
      </c>
      <c r="C66" s="2717"/>
      <c r="D66" s="2717"/>
      <c r="E66" s="2717"/>
      <c r="F66" s="2717"/>
      <c r="G66" s="2717"/>
      <c r="H66" s="2717"/>
      <c r="I66" s="2717"/>
      <c r="J66" s="2717"/>
      <c r="K66" s="2717"/>
      <c r="L66" s="107">
        <v>0</v>
      </c>
      <c r="M66" s="117">
        <v>3</v>
      </c>
      <c r="N66" s="2723" t="s">
        <v>425</v>
      </c>
      <c r="O66" s="2724"/>
      <c r="P66" s="2724"/>
      <c r="Q66" s="2720" t="s">
        <v>426</v>
      </c>
      <c r="R66" s="2721"/>
      <c r="S66" s="2722"/>
      <c r="T66" s="109" t="s">
        <v>304</v>
      </c>
      <c r="U66" s="446" t="s">
        <v>292</v>
      </c>
      <c r="V66" s="443"/>
    </row>
    <row r="67" spans="2:22" ht="15" customHeight="1" x14ac:dyDescent="0.3">
      <c r="B67" s="2716" t="s">
        <v>296</v>
      </c>
      <c r="C67" s="2717"/>
      <c r="D67" s="2717"/>
      <c r="E67" s="2717"/>
      <c r="F67" s="2717"/>
      <c r="G67" s="2717"/>
      <c r="H67" s="2717"/>
      <c r="I67" s="2717"/>
      <c r="J67" s="2717"/>
      <c r="K67" s="2717"/>
      <c r="L67" s="107">
        <v>0</v>
      </c>
      <c r="M67" s="118">
        <v>4</v>
      </c>
      <c r="N67" s="2723" t="s">
        <v>299</v>
      </c>
      <c r="O67" s="2724"/>
      <c r="P67" s="2724"/>
      <c r="Q67" s="2720" t="s">
        <v>310</v>
      </c>
      <c r="R67" s="2721"/>
      <c r="S67" s="2722"/>
      <c r="T67" s="109" t="s">
        <v>305</v>
      </c>
      <c r="U67" s="444"/>
      <c r="V67" s="445" t="s">
        <v>288</v>
      </c>
    </row>
    <row r="68" spans="2:22" ht="14" x14ac:dyDescent="0.3">
      <c r="B68" s="2716" t="s">
        <v>297</v>
      </c>
      <c r="C68" s="2717"/>
      <c r="D68" s="2717"/>
      <c r="E68" s="2717"/>
      <c r="F68" s="2717"/>
      <c r="G68" s="2717"/>
      <c r="H68" s="2717"/>
      <c r="I68" s="2717"/>
      <c r="J68" s="2717"/>
      <c r="K68" s="2717"/>
      <c r="L68" s="108">
        <f>SUM(L64:L67)</f>
        <v>0</v>
      </c>
      <c r="M68" s="105">
        <v>5</v>
      </c>
      <c r="N68" s="2723" t="s">
        <v>986</v>
      </c>
      <c r="O68" s="2724"/>
      <c r="P68" s="2724"/>
      <c r="Q68" s="2720" t="s">
        <v>987</v>
      </c>
      <c r="R68" s="2721"/>
      <c r="S68" s="2722"/>
      <c r="T68" s="109" t="s">
        <v>306</v>
      </c>
      <c r="U68" s="446" t="s">
        <v>289</v>
      </c>
      <c r="V68" s="443"/>
    </row>
    <row r="69" spans="2:22" ht="13.5" customHeight="1" x14ac:dyDescent="0.3">
      <c r="B69" s="2710"/>
      <c r="C69" s="2711"/>
      <c r="D69" s="2711"/>
      <c r="E69" s="2711"/>
      <c r="F69" s="2711"/>
      <c r="G69" s="2711"/>
      <c r="H69" s="2711"/>
      <c r="I69" s="2711"/>
      <c r="J69" s="2711"/>
      <c r="K69" s="2711"/>
      <c r="L69" s="2712"/>
      <c r="M69" s="105">
        <v>6</v>
      </c>
      <c r="N69" s="2718" t="s">
        <v>300</v>
      </c>
      <c r="O69" s="2719"/>
      <c r="P69" s="2719"/>
      <c r="Q69" s="2720" t="s">
        <v>311</v>
      </c>
      <c r="R69" s="2721"/>
      <c r="S69" s="2722"/>
      <c r="T69" s="109" t="s">
        <v>307</v>
      </c>
      <c r="U69" s="444"/>
      <c r="V69" s="445" t="s">
        <v>290</v>
      </c>
    </row>
    <row r="70" spans="2:22" ht="14.5" thickBot="1" x14ac:dyDescent="0.35">
      <c r="B70" s="2725"/>
      <c r="C70" s="2726"/>
      <c r="D70" s="2726"/>
      <c r="E70" s="2726"/>
      <c r="F70" s="2726"/>
      <c r="G70" s="2726"/>
      <c r="H70" s="2726"/>
      <c r="I70" s="2726"/>
      <c r="J70" s="2726"/>
      <c r="K70" s="2726"/>
      <c r="L70" s="2727"/>
      <c r="M70" s="106">
        <v>7</v>
      </c>
      <c r="N70" s="2728" t="s">
        <v>301</v>
      </c>
      <c r="O70" s="2729"/>
      <c r="P70" s="2729"/>
      <c r="Q70" s="2733" t="s">
        <v>312</v>
      </c>
      <c r="R70" s="2734"/>
      <c r="S70" s="2735"/>
      <c r="T70" s="110" t="s">
        <v>308</v>
      </c>
      <c r="U70" s="447" t="s">
        <v>291</v>
      </c>
      <c r="V70" s="448"/>
    </row>
    <row r="71" spans="2:22" ht="13" thickTop="1" x14ac:dyDescent="0.25">
      <c r="B71" s="342"/>
      <c r="C71" s="342"/>
      <c r="D71" s="342"/>
      <c r="E71" s="342"/>
      <c r="F71" s="342"/>
      <c r="G71" s="342"/>
      <c r="H71" s="342"/>
      <c r="I71" s="342"/>
      <c r="J71" s="342"/>
      <c r="K71" s="342"/>
      <c r="L71" s="342"/>
      <c r="M71" s="342"/>
      <c r="N71" s="342"/>
      <c r="O71" s="342"/>
      <c r="P71" s="342"/>
    </row>
    <row r="72" spans="2:22" x14ac:dyDescent="0.25">
      <c r="B72" s="342"/>
      <c r="C72" s="342"/>
      <c r="D72" s="342"/>
      <c r="E72" s="342"/>
      <c r="F72" s="342"/>
      <c r="G72" s="342"/>
      <c r="H72" s="342"/>
      <c r="I72" s="342"/>
      <c r="J72" s="342"/>
      <c r="K72" s="342"/>
      <c r="L72" s="342"/>
      <c r="M72" s="342"/>
      <c r="N72" s="342"/>
      <c r="O72" s="342"/>
      <c r="P72" s="342"/>
    </row>
    <row r="73" spans="2:22" x14ac:dyDescent="0.25">
      <c r="B73" s="342"/>
      <c r="C73" s="342"/>
      <c r="D73" s="342"/>
      <c r="E73" s="342"/>
      <c r="F73" s="342"/>
      <c r="G73" s="342"/>
      <c r="H73" s="342"/>
      <c r="I73" s="342"/>
      <c r="J73" s="342"/>
      <c r="K73" s="342"/>
      <c r="L73" s="342"/>
      <c r="M73" s="342"/>
      <c r="N73" s="342"/>
      <c r="O73" s="342"/>
      <c r="P73" s="342"/>
    </row>
    <row r="74" spans="2:22" x14ac:dyDescent="0.25">
      <c r="B74" s="342"/>
      <c r="C74" s="342"/>
      <c r="D74" s="342"/>
      <c r="E74" s="342"/>
      <c r="F74" s="342"/>
      <c r="G74" s="342"/>
      <c r="H74" s="342"/>
      <c r="I74" s="342"/>
      <c r="J74" s="342"/>
      <c r="K74" s="342"/>
      <c r="L74" s="342"/>
      <c r="M74" s="342"/>
      <c r="N74" s="342"/>
      <c r="O74" s="342"/>
      <c r="P74" s="342"/>
    </row>
    <row r="75" spans="2:22" x14ac:dyDescent="0.25">
      <c r="B75" s="342"/>
      <c r="C75" s="342"/>
      <c r="D75" s="342"/>
      <c r="E75" s="342"/>
      <c r="F75" s="342"/>
      <c r="G75" s="342"/>
      <c r="H75" s="342"/>
      <c r="I75" s="342"/>
      <c r="J75" s="342"/>
      <c r="K75" s="342"/>
      <c r="L75" s="342"/>
      <c r="M75" s="342"/>
      <c r="N75" s="342"/>
      <c r="O75" s="342"/>
      <c r="P75" s="342"/>
    </row>
    <row r="76" spans="2:22" x14ac:dyDescent="0.25">
      <c r="B76" s="342"/>
      <c r="C76" s="342"/>
      <c r="D76" s="342"/>
      <c r="E76" s="342"/>
      <c r="F76" s="342"/>
      <c r="G76" s="342"/>
      <c r="H76" s="342"/>
      <c r="I76" s="342"/>
      <c r="J76" s="342"/>
      <c r="K76" s="342"/>
      <c r="L76" s="342"/>
      <c r="M76" s="342"/>
      <c r="N76" s="342"/>
      <c r="O76" s="342"/>
      <c r="P76" s="342"/>
    </row>
    <row r="77" spans="2:22" x14ac:dyDescent="0.25">
      <c r="B77" s="342"/>
      <c r="C77" s="342"/>
      <c r="D77" s="342"/>
      <c r="E77" s="342"/>
      <c r="F77" s="342"/>
      <c r="G77" s="342"/>
      <c r="H77" s="342"/>
      <c r="I77" s="342"/>
      <c r="J77" s="342"/>
      <c r="K77" s="342"/>
      <c r="L77" s="342"/>
      <c r="M77" s="342"/>
      <c r="N77" s="342"/>
      <c r="O77" s="342"/>
      <c r="P77" s="342"/>
    </row>
    <row r="78" spans="2:22" x14ac:dyDescent="0.25">
      <c r="B78" s="342"/>
      <c r="C78" s="342"/>
      <c r="D78" s="342"/>
      <c r="E78" s="342"/>
      <c r="F78" s="342"/>
      <c r="G78" s="342"/>
      <c r="H78" s="342"/>
      <c r="I78" s="342"/>
      <c r="J78" s="342"/>
      <c r="K78" s="342"/>
      <c r="L78" s="342"/>
      <c r="M78" s="342"/>
      <c r="N78" s="342"/>
      <c r="O78" s="342"/>
      <c r="P78" s="342"/>
    </row>
    <row r="79" spans="2:22" x14ac:dyDescent="0.25">
      <c r="B79" s="342"/>
      <c r="C79" s="342"/>
      <c r="D79" s="342"/>
      <c r="E79" s="342"/>
      <c r="F79" s="342"/>
      <c r="G79" s="342"/>
      <c r="H79" s="342"/>
      <c r="I79" s="342"/>
      <c r="J79" s="342"/>
      <c r="K79" s="342"/>
      <c r="L79" s="342"/>
      <c r="M79" s="342"/>
      <c r="N79" s="342"/>
      <c r="O79" s="342"/>
      <c r="P79" s="342"/>
    </row>
    <row r="80" spans="2:22" x14ac:dyDescent="0.25">
      <c r="B80" s="342"/>
      <c r="C80" s="342"/>
      <c r="D80" s="342"/>
      <c r="E80" s="342"/>
      <c r="F80" s="342"/>
      <c r="G80" s="342"/>
      <c r="H80" s="342"/>
      <c r="I80" s="342"/>
      <c r="J80" s="342"/>
      <c r="K80" s="342"/>
      <c r="L80" s="342"/>
      <c r="M80" s="342"/>
      <c r="N80" s="342"/>
      <c r="O80" s="342"/>
      <c r="P80" s="342"/>
    </row>
    <row r="81" spans="2:16" x14ac:dyDescent="0.25">
      <c r="B81" s="342"/>
      <c r="C81" s="342"/>
      <c r="D81" s="342"/>
      <c r="E81" s="342"/>
      <c r="F81" s="342"/>
      <c r="G81" s="342"/>
      <c r="H81" s="342"/>
      <c r="I81" s="342"/>
      <c r="J81" s="342"/>
      <c r="K81" s="342"/>
      <c r="L81" s="342"/>
      <c r="M81" s="342"/>
      <c r="N81" s="342"/>
      <c r="O81" s="342"/>
      <c r="P81" s="342"/>
    </row>
    <row r="82" spans="2:16" x14ac:dyDescent="0.25">
      <c r="B82" s="342"/>
      <c r="C82" s="342"/>
      <c r="D82" s="342"/>
      <c r="E82" s="342"/>
      <c r="F82" s="342"/>
      <c r="G82" s="342"/>
      <c r="H82" s="342"/>
      <c r="I82" s="342"/>
      <c r="J82" s="342"/>
      <c r="K82" s="342"/>
      <c r="L82" s="342"/>
      <c r="M82" s="342"/>
      <c r="N82" s="342"/>
      <c r="O82" s="342"/>
      <c r="P82" s="342"/>
    </row>
    <row r="83" spans="2:16" x14ac:dyDescent="0.25">
      <c r="B83" s="342"/>
      <c r="C83" s="342"/>
      <c r="D83" s="342"/>
      <c r="E83" s="342"/>
      <c r="F83" s="342"/>
      <c r="G83" s="342"/>
      <c r="H83" s="342"/>
      <c r="I83" s="342"/>
      <c r="J83" s="342"/>
      <c r="K83" s="342"/>
      <c r="L83" s="342"/>
      <c r="M83" s="342"/>
      <c r="N83" s="342"/>
      <c r="O83" s="342"/>
      <c r="P83" s="342"/>
    </row>
    <row r="84" spans="2:16" x14ac:dyDescent="0.25">
      <c r="B84" s="342"/>
      <c r="C84" s="342"/>
      <c r="D84" s="342"/>
      <c r="E84" s="342"/>
      <c r="F84" s="342"/>
      <c r="G84" s="342"/>
      <c r="H84" s="342"/>
      <c r="I84" s="342"/>
      <c r="J84" s="342"/>
      <c r="K84" s="342"/>
      <c r="L84" s="342"/>
      <c r="M84" s="342"/>
      <c r="N84" s="342"/>
      <c r="O84" s="342"/>
      <c r="P84" s="342"/>
    </row>
    <row r="85" spans="2:16" x14ac:dyDescent="0.25">
      <c r="B85" s="342"/>
      <c r="C85" s="342"/>
      <c r="D85" s="342"/>
      <c r="E85" s="342"/>
      <c r="F85" s="342"/>
      <c r="G85" s="342"/>
      <c r="H85" s="342"/>
      <c r="I85" s="342"/>
      <c r="J85" s="342"/>
      <c r="K85" s="342"/>
      <c r="L85" s="342"/>
      <c r="M85" s="342"/>
      <c r="N85" s="342"/>
      <c r="O85" s="342"/>
      <c r="P85" s="342"/>
    </row>
    <row r="86" spans="2:16" x14ac:dyDescent="0.25">
      <c r="B86" s="342"/>
      <c r="C86" s="342"/>
      <c r="D86" s="342"/>
      <c r="E86" s="342"/>
      <c r="F86" s="342"/>
      <c r="G86" s="342"/>
      <c r="H86" s="342"/>
      <c r="I86" s="342"/>
      <c r="J86" s="342"/>
      <c r="K86" s="342"/>
      <c r="L86" s="342"/>
      <c r="M86" s="342"/>
      <c r="N86" s="342"/>
      <c r="O86" s="342"/>
      <c r="P86" s="342"/>
    </row>
    <row r="87" spans="2:16" x14ac:dyDescent="0.25">
      <c r="B87" s="342"/>
      <c r="C87" s="342"/>
      <c r="D87" s="342"/>
      <c r="E87" s="342"/>
      <c r="F87" s="342"/>
      <c r="G87" s="342"/>
      <c r="H87" s="342"/>
      <c r="I87" s="342"/>
      <c r="J87" s="342"/>
      <c r="K87" s="342"/>
      <c r="L87" s="342"/>
      <c r="M87" s="342"/>
      <c r="N87" s="342"/>
      <c r="O87" s="342"/>
      <c r="P87" s="342"/>
    </row>
  </sheetData>
  <mergeCells count="66">
    <mergeCell ref="B70:L70"/>
    <mergeCell ref="N70:P70"/>
    <mergeCell ref="N67:P67"/>
    <mergeCell ref="B50:O50"/>
    <mergeCell ref="Q70:S70"/>
    <mergeCell ref="B68:K68"/>
    <mergeCell ref="N68:P68"/>
    <mergeCell ref="Q68:S68"/>
    <mergeCell ref="B69:L69"/>
    <mergeCell ref="N69:P69"/>
    <mergeCell ref="Q69:S69"/>
    <mergeCell ref="B66:K66"/>
    <mergeCell ref="N66:P66"/>
    <mergeCell ref="Q66:S66"/>
    <mergeCell ref="B67:K67"/>
    <mergeCell ref="Q67:S67"/>
    <mergeCell ref="B64:K64"/>
    <mergeCell ref="N64:P64"/>
    <mergeCell ref="Q64:S64"/>
    <mergeCell ref="B65:K65"/>
    <mergeCell ref="N65:P65"/>
    <mergeCell ref="Q65:S65"/>
    <mergeCell ref="S59:U59"/>
    <mergeCell ref="S60:U60"/>
    <mergeCell ref="B62:L62"/>
    <mergeCell ref="M62:V62"/>
    <mergeCell ref="B63:L63"/>
    <mergeCell ref="N63:P63"/>
    <mergeCell ref="Q63:S63"/>
    <mergeCell ref="U63:V63"/>
    <mergeCell ref="Q50:S50"/>
    <mergeCell ref="B51:V51"/>
    <mergeCell ref="S53:U53"/>
    <mergeCell ref="S54:U54"/>
    <mergeCell ref="S55:U55"/>
    <mergeCell ref="B15:K15"/>
    <mergeCell ref="B10:K14"/>
    <mergeCell ref="L10:L14"/>
    <mergeCell ref="M10:P10"/>
    <mergeCell ref="Q10:T10"/>
    <mergeCell ref="N12:N14"/>
    <mergeCell ref="O12:O14"/>
    <mergeCell ref="Q12:Q14"/>
    <mergeCell ref="R12:R14"/>
    <mergeCell ref="S12:S14"/>
    <mergeCell ref="B9:V9"/>
    <mergeCell ref="U2:V2"/>
    <mergeCell ref="U3:V3"/>
    <mergeCell ref="B4:V4"/>
    <mergeCell ref="B5:V5"/>
    <mergeCell ref="B6:K6"/>
    <mergeCell ref="M6:V6"/>
    <mergeCell ref="B7:K7"/>
    <mergeCell ref="M7:V7"/>
    <mergeCell ref="B8:L8"/>
    <mergeCell ref="J2:R2"/>
    <mergeCell ref="J3:R3"/>
    <mergeCell ref="S2:T2"/>
    <mergeCell ref="S3:T3"/>
    <mergeCell ref="M8:V8"/>
    <mergeCell ref="U10:V10"/>
    <mergeCell ref="M11:O11"/>
    <mergeCell ref="Q11:S11"/>
    <mergeCell ref="U11:U14"/>
    <mergeCell ref="V11:V14"/>
    <mergeCell ref="M12:M14"/>
  </mergeCells>
  <hyperlinks>
    <hyperlink ref="P42" r:id="rId1" display="=@Sum(Q79:R84)"/>
    <hyperlink ref="T42" r:id="rId2" display="=@Sum(Q79:R84)"/>
  </hyperlinks>
  <pageMargins left="0.511811023622047" right="1.0255905510000001" top="0.511811023622047" bottom="0.47244094488188998" header="0.31496062992126" footer="0.31496062992126"/>
  <pageSetup paperSize="5" scale="70" orientation="landscape" horizontalDpi="4294967293" verticalDpi="4294967293"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rgb="FFFFFF00"/>
  </sheetPr>
  <dimension ref="B1:AC81"/>
  <sheetViews>
    <sheetView view="pageBreakPreview" topLeftCell="A3" zoomScale="76" zoomScaleNormal="100" zoomScaleSheetLayoutView="86" workbookViewId="0">
      <selection activeCell="Z47" sqref="Z47"/>
    </sheetView>
  </sheetViews>
  <sheetFormatPr defaultRowHeight="12.5" x14ac:dyDescent="0.25"/>
  <cols>
    <col min="1" max="1" width="6.453125" style="341" customWidth="1"/>
    <col min="2" max="2" width="8.54296875" style="341" customWidth="1"/>
    <col min="3" max="3" width="9.1796875" style="341" customWidth="1"/>
    <col min="4" max="4" width="4" style="341" customWidth="1"/>
    <col min="5" max="5" width="39.54296875" style="341" customWidth="1"/>
    <col min="6" max="6" width="16.54296875" style="341" customWidth="1"/>
    <col min="7" max="7" width="12.1796875" style="341" customWidth="1"/>
    <col min="8" max="8" width="17.1796875" style="341" customWidth="1"/>
    <col min="9" max="9" width="18.7265625" style="341" customWidth="1"/>
    <col min="10" max="10" width="18.26953125" style="341" customWidth="1"/>
    <col min="11" max="12" width="3.26953125" style="341" customWidth="1"/>
    <col min="13" max="13" width="11.81640625" style="341" customWidth="1"/>
    <col min="14" max="14" width="18" style="341" customWidth="1"/>
    <col min="15" max="15" width="8.7265625" style="341"/>
    <col min="16" max="16" width="7.54296875" style="341" customWidth="1"/>
    <col min="17" max="17" width="4.54296875" style="341" customWidth="1"/>
    <col min="18" max="18" width="5.453125" style="341" customWidth="1"/>
    <col min="19" max="19" width="8.7265625" style="341"/>
    <col min="20" max="20" width="46.26953125" style="341" customWidth="1"/>
    <col min="21" max="21" width="15.453125" style="341" customWidth="1"/>
    <col min="22" max="22" width="15.7265625" style="341" customWidth="1"/>
    <col min="23" max="23" width="18.1796875" style="341" customWidth="1"/>
    <col min="24" max="24" width="15.90625" style="341" customWidth="1"/>
    <col min="25" max="25" width="14.54296875" style="341" customWidth="1"/>
    <col min="26" max="26" width="15" style="341" customWidth="1"/>
    <col min="27" max="27" width="17.36328125" style="341" customWidth="1"/>
    <col min="28" max="28" width="17.453125" style="341" customWidth="1"/>
    <col min="29" max="29" width="15.54296875" style="341" customWidth="1"/>
    <col min="30" max="16384" width="8.7265625" style="341"/>
  </cols>
  <sheetData>
    <row r="1" spans="2:29" ht="13" thickBot="1" x14ac:dyDescent="0.3"/>
    <row r="2" spans="2:29" s="1372" customFormat="1" ht="29.25" customHeight="1" thickTop="1" x14ac:dyDescent="0.25">
      <c r="B2" s="7"/>
      <c r="C2" s="2537" t="s">
        <v>278</v>
      </c>
      <c r="D2" s="2537"/>
      <c r="E2" s="2537"/>
      <c r="F2" s="2537"/>
      <c r="G2" s="2537"/>
      <c r="H2" s="2537"/>
      <c r="I2" s="2537"/>
      <c r="J2" s="2537"/>
      <c r="K2" s="2543"/>
      <c r="L2" s="2537" t="s">
        <v>380</v>
      </c>
      <c r="M2" s="2537"/>
      <c r="N2" s="2538"/>
    </row>
    <row r="3" spans="2:29" s="1372" customFormat="1" ht="27" customHeight="1" thickBot="1" x14ac:dyDescent="0.3">
      <c r="B3" s="12"/>
      <c r="C3" s="2531" t="s">
        <v>114</v>
      </c>
      <c r="D3" s="2531"/>
      <c r="E3" s="2531"/>
      <c r="F3" s="2531"/>
      <c r="G3" s="2531"/>
      <c r="H3" s="2531"/>
      <c r="I3" s="2531"/>
      <c r="J3" s="2531"/>
      <c r="K3" s="2532"/>
      <c r="L3" s="2539"/>
      <c r="M3" s="2539"/>
      <c r="N3" s="2540"/>
    </row>
    <row r="4" spans="2:29" ht="12.75" customHeight="1" x14ac:dyDescent="0.3">
      <c r="B4" s="2654" t="s">
        <v>11</v>
      </c>
      <c r="C4" s="2655"/>
      <c r="D4" s="2655"/>
      <c r="E4" s="2655"/>
      <c r="F4" s="2655"/>
      <c r="G4" s="2655"/>
      <c r="H4" s="2655"/>
      <c r="I4" s="2655"/>
      <c r="J4" s="2655"/>
      <c r="K4" s="2771"/>
      <c r="L4" s="2539"/>
      <c r="M4" s="2539"/>
      <c r="N4" s="2540"/>
    </row>
    <row r="5" spans="2:29" ht="13.5" customHeight="1" thickBot="1" x14ac:dyDescent="0.35">
      <c r="B5" s="2657" t="s">
        <v>661</v>
      </c>
      <c r="C5" s="2658"/>
      <c r="D5" s="2658"/>
      <c r="E5" s="2658"/>
      <c r="F5" s="2658"/>
      <c r="G5" s="2658"/>
      <c r="H5" s="2658"/>
      <c r="I5" s="2658"/>
      <c r="J5" s="2658"/>
      <c r="K5" s="2778"/>
      <c r="L5" s="2779"/>
      <c r="M5" s="2779"/>
      <c r="N5" s="2780"/>
    </row>
    <row r="6" spans="2:29" ht="14.25" customHeight="1" x14ac:dyDescent="0.3">
      <c r="B6" s="2756" t="s">
        <v>115</v>
      </c>
      <c r="C6" s="2757"/>
      <c r="D6" s="2757"/>
      <c r="E6" s="2781" t="s">
        <v>238</v>
      </c>
      <c r="F6" s="2781"/>
      <c r="G6" s="2781"/>
      <c r="H6" s="2781"/>
      <c r="I6" s="2781"/>
      <c r="J6" s="2781"/>
      <c r="K6" s="2781"/>
      <c r="L6" s="2781"/>
      <c r="M6" s="2781"/>
      <c r="N6" s="2782"/>
    </row>
    <row r="7" spans="2:29" ht="14.25" customHeight="1" x14ac:dyDescent="0.3">
      <c r="B7" s="2754" t="s">
        <v>130</v>
      </c>
      <c r="C7" s="2755"/>
      <c r="D7" s="2755"/>
      <c r="E7" s="2755" t="s">
        <v>261</v>
      </c>
      <c r="F7" s="2755"/>
      <c r="G7" s="2755"/>
      <c r="H7" s="2755"/>
      <c r="I7" s="2755"/>
      <c r="J7" s="2755"/>
      <c r="K7" s="2755"/>
      <c r="L7" s="2755"/>
      <c r="M7" s="2755"/>
      <c r="N7" s="2784"/>
    </row>
    <row r="8" spans="2:29" ht="14" x14ac:dyDescent="0.3">
      <c r="B8" s="2773" t="s">
        <v>381</v>
      </c>
      <c r="C8" s="2774"/>
      <c r="D8" s="2775"/>
      <c r="E8" s="2775"/>
      <c r="F8" s="2775"/>
      <c r="G8" s="2775"/>
      <c r="H8" s="2775"/>
      <c r="I8" s="2775"/>
      <c r="J8" s="2775"/>
      <c r="K8" s="2775"/>
      <c r="L8" s="2775"/>
      <c r="M8" s="2775"/>
      <c r="N8" s="2776"/>
    </row>
    <row r="9" spans="2:29" s="344" customFormat="1" ht="14" x14ac:dyDescent="0.25">
      <c r="B9" s="2777" t="s">
        <v>138</v>
      </c>
      <c r="C9" s="2746"/>
      <c r="D9" s="2746" t="s">
        <v>121</v>
      </c>
      <c r="E9" s="2746"/>
      <c r="F9" s="2601" t="s">
        <v>140</v>
      </c>
      <c r="G9" s="2601" t="s">
        <v>10</v>
      </c>
      <c r="H9" s="2601" t="s">
        <v>399</v>
      </c>
      <c r="I9" s="2746" t="s">
        <v>368</v>
      </c>
      <c r="J9" s="2746"/>
      <c r="K9" s="2746" t="s">
        <v>272</v>
      </c>
      <c r="L9" s="2746"/>
      <c r="M9" s="2746"/>
      <c r="N9" s="2748"/>
    </row>
    <row r="10" spans="2:29" s="344" customFormat="1" ht="14.25" customHeight="1" x14ac:dyDescent="0.25">
      <c r="B10" s="2783" t="s">
        <v>131</v>
      </c>
      <c r="C10" s="2772" t="s">
        <v>132</v>
      </c>
      <c r="D10" s="2746"/>
      <c r="E10" s="2746"/>
      <c r="F10" s="2636"/>
      <c r="G10" s="2601"/>
      <c r="H10" s="2601"/>
      <c r="I10" s="2747" t="s">
        <v>370</v>
      </c>
      <c r="J10" s="2747" t="s">
        <v>371</v>
      </c>
      <c r="K10" s="2601" t="s">
        <v>123</v>
      </c>
      <c r="L10" s="2601"/>
      <c r="M10" s="2601"/>
      <c r="N10" s="2748" t="s">
        <v>273</v>
      </c>
      <c r="U10" s="2808" t="s">
        <v>370</v>
      </c>
      <c r="V10" s="2808"/>
      <c r="W10" s="2808"/>
      <c r="X10" s="1515"/>
      <c r="Y10" s="2808" t="s">
        <v>269</v>
      </c>
      <c r="Z10" s="2808"/>
      <c r="AA10" s="2808"/>
      <c r="AB10" s="1515"/>
    </row>
    <row r="11" spans="2:29" s="344" customFormat="1" ht="19.5" customHeight="1" x14ac:dyDescent="0.25">
      <c r="B11" s="2783"/>
      <c r="C11" s="2772"/>
      <c r="D11" s="2746"/>
      <c r="E11" s="2746"/>
      <c r="F11" s="2636"/>
      <c r="G11" s="2601"/>
      <c r="H11" s="2601"/>
      <c r="I11" s="2747"/>
      <c r="J11" s="2747"/>
      <c r="K11" s="2601"/>
      <c r="L11" s="2601"/>
      <c r="M11" s="2601"/>
      <c r="N11" s="2748"/>
      <c r="U11" s="2809"/>
      <c r="V11" s="2809"/>
      <c r="W11" s="2809"/>
      <c r="X11" s="1516"/>
      <c r="Y11" s="2809"/>
      <c r="Z11" s="2809"/>
      <c r="AA11" s="2809"/>
      <c r="AB11" s="1515"/>
    </row>
    <row r="12" spans="2:29" s="344" customFormat="1" ht="9" customHeight="1" x14ac:dyDescent="0.25">
      <c r="B12" s="2783"/>
      <c r="C12" s="2772"/>
      <c r="D12" s="2746"/>
      <c r="E12" s="2746"/>
      <c r="F12" s="2636"/>
      <c r="G12" s="2601"/>
      <c r="H12" s="2601"/>
      <c r="I12" s="2747"/>
      <c r="J12" s="2747"/>
      <c r="K12" s="2601"/>
      <c r="L12" s="2601"/>
      <c r="M12" s="2601"/>
      <c r="N12" s="2748"/>
      <c r="U12" s="133"/>
      <c r="AA12" s="133"/>
      <c r="AB12" s="133"/>
    </row>
    <row r="13" spans="2:29" ht="13.5" customHeight="1" thickBot="1" x14ac:dyDescent="0.3">
      <c r="B13" s="16">
        <v>1</v>
      </c>
      <c r="C13" s="1504">
        <v>2</v>
      </c>
      <c r="D13" s="2763">
        <v>3</v>
      </c>
      <c r="E13" s="2764"/>
      <c r="F13" s="1503">
        <v>4</v>
      </c>
      <c r="G13" s="1505">
        <v>5</v>
      </c>
      <c r="H13" s="1503">
        <v>6</v>
      </c>
      <c r="I13" s="1505">
        <v>7</v>
      </c>
      <c r="J13" s="1505">
        <v>8</v>
      </c>
      <c r="K13" s="2765" t="s">
        <v>400</v>
      </c>
      <c r="L13" s="2766"/>
      <c r="M13" s="2767"/>
      <c r="N13" s="13">
        <v>10</v>
      </c>
      <c r="P13" s="1373"/>
      <c r="Q13" s="1500"/>
      <c r="R13" s="1510"/>
      <c r="S13" s="1510"/>
      <c r="T13" s="1510"/>
      <c r="U13" s="2810" t="s">
        <v>402</v>
      </c>
      <c r="V13" s="2810" t="s">
        <v>403</v>
      </c>
      <c r="W13" s="2810" t="s">
        <v>43</v>
      </c>
      <c r="X13" s="1517"/>
      <c r="Y13" s="2810" t="s">
        <v>402</v>
      </c>
      <c r="Z13" s="2810" t="s">
        <v>403</v>
      </c>
      <c r="AA13" s="2810" t="s">
        <v>43</v>
      </c>
      <c r="AB13" s="1517"/>
    </row>
    <row r="14" spans="2:29" ht="12" customHeight="1" thickTop="1" x14ac:dyDescent="0.25">
      <c r="B14" s="1374"/>
      <c r="C14" s="1375"/>
      <c r="D14" s="2758"/>
      <c r="E14" s="2759"/>
      <c r="F14" s="1501"/>
      <c r="G14" s="1376"/>
      <c r="H14" s="1377"/>
      <c r="I14" s="1502"/>
      <c r="J14" s="1502"/>
      <c r="K14" s="2760"/>
      <c r="L14" s="2761"/>
      <c r="M14" s="2762"/>
      <c r="N14" s="1378"/>
      <c r="P14" s="1510"/>
      <c r="Q14" s="1510"/>
      <c r="R14" s="1510"/>
      <c r="S14" s="1510"/>
      <c r="T14" s="1510"/>
      <c r="U14" s="2702"/>
      <c r="V14" s="2702"/>
      <c r="W14" s="2702"/>
      <c r="X14" s="1492" t="s">
        <v>126</v>
      </c>
      <c r="Y14" s="2702"/>
      <c r="Z14" s="2702"/>
      <c r="AA14" s="2702"/>
      <c r="AB14" s="1492" t="s">
        <v>126</v>
      </c>
      <c r="AC14" s="1379" t="s">
        <v>216</v>
      </c>
    </row>
    <row r="15" spans="2:29" ht="15.75" customHeight="1" x14ac:dyDescent="0.25">
      <c r="B15" s="321" t="s">
        <v>84</v>
      </c>
      <c r="C15" s="565"/>
      <c r="D15" s="2744" t="s">
        <v>382</v>
      </c>
      <c r="E15" s="2745"/>
      <c r="F15" s="1380"/>
      <c r="G15" s="566"/>
      <c r="H15" s="1381"/>
      <c r="I15" s="1382"/>
      <c r="J15" s="1382"/>
      <c r="K15" s="892"/>
      <c r="L15" s="1383"/>
      <c r="M15" s="1382"/>
      <c r="N15" s="1384"/>
      <c r="P15" s="1510"/>
      <c r="Q15" s="1327" t="s">
        <v>84</v>
      </c>
      <c r="R15" s="1385"/>
      <c r="S15" s="2806" t="s">
        <v>382</v>
      </c>
      <c r="T15" s="2806"/>
      <c r="U15" s="1386"/>
      <c r="V15" s="1513"/>
      <c r="W15" s="1513"/>
      <c r="X15" s="1513"/>
      <c r="Y15" s="1513"/>
      <c r="Z15" s="1387"/>
      <c r="AA15" s="1386"/>
      <c r="AB15" s="1386"/>
      <c r="AC15" s="1387"/>
    </row>
    <row r="16" spans="2:29" ht="14.25" customHeight="1" x14ac:dyDescent="0.25">
      <c r="B16" s="322"/>
      <c r="C16" s="132" t="s">
        <v>87</v>
      </c>
      <c r="D16" s="2736" t="s">
        <v>385</v>
      </c>
      <c r="E16" s="2741"/>
      <c r="F16" s="1388" t="s">
        <v>90</v>
      </c>
      <c r="G16" s="1389" t="s">
        <v>397</v>
      </c>
      <c r="H16" s="1390" t="s">
        <v>220</v>
      </c>
      <c r="I16" s="1495">
        <f>'KOM, SDM&amp;Listrik '!P28</f>
        <v>75426000</v>
      </c>
      <c r="J16" s="1495">
        <f>'KOM, SDM&amp;Listrik '!T28</f>
        <v>89426000</v>
      </c>
      <c r="K16" s="2738">
        <f>J16-I16</f>
        <v>14000000</v>
      </c>
      <c r="L16" s="2739"/>
      <c r="M16" s="2740"/>
      <c r="N16" s="439">
        <f>K16/I16*100</f>
        <v>18.56123883011163</v>
      </c>
      <c r="P16" s="82"/>
      <c r="Q16" s="989"/>
      <c r="R16" s="135" t="s">
        <v>87</v>
      </c>
      <c r="S16" s="2805" t="s">
        <v>385</v>
      </c>
      <c r="T16" s="2805"/>
      <c r="U16" s="1391"/>
      <c r="V16" s="1392">
        <f>'KOM, SDM&amp;Listrik '!P33</f>
        <v>75426000</v>
      </c>
      <c r="W16" s="1392"/>
      <c r="X16" s="1392">
        <f>SUM(U16:W16)</f>
        <v>75426000</v>
      </c>
      <c r="Y16" s="674"/>
      <c r="Z16" s="1392">
        <f>'KOM, SDM&amp;Listrik '!T33</f>
        <v>89426000</v>
      </c>
      <c r="AA16" s="1391"/>
      <c r="AB16" s="1392">
        <f t="shared" ref="AB16:AB23" si="0">SUM(Y16:AA16)</f>
        <v>89426000</v>
      </c>
      <c r="AC16" s="674"/>
    </row>
    <row r="17" spans="2:29" ht="14.25" customHeight="1" x14ac:dyDescent="0.25">
      <c r="B17" s="323"/>
      <c r="C17" s="132" t="s">
        <v>99</v>
      </c>
      <c r="D17" s="2736" t="s">
        <v>386</v>
      </c>
      <c r="E17" s="2741"/>
      <c r="F17" s="1388" t="s">
        <v>90</v>
      </c>
      <c r="G17" s="1389" t="s">
        <v>397</v>
      </c>
      <c r="H17" s="1390" t="s">
        <v>220</v>
      </c>
      <c r="I17" s="1495">
        <f>'Js Kbr Ktr '!P28</f>
        <v>9300000</v>
      </c>
      <c r="J17" s="1495">
        <f>'Js Kbr Ktr '!T28</f>
        <v>5550000</v>
      </c>
      <c r="K17" s="2738">
        <f t="shared" ref="K17:K23" si="1">J17-I17</f>
        <v>-3750000</v>
      </c>
      <c r="L17" s="2739"/>
      <c r="M17" s="2740"/>
      <c r="N17" s="439">
        <f t="shared" ref="N17:N23" si="2">K17/I17*100</f>
        <v>-40.322580645161288</v>
      </c>
      <c r="P17" s="82"/>
      <c r="Q17" s="1328"/>
      <c r="R17" s="135" t="s">
        <v>99</v>
      </c>
      <c r="S17" s="2805" t="s">
        <v>386</v>
      </c>
      <c r="T17" s="2805"/>
      <c r="U17" s="1391"/>
      <c r="V17" s="1392">
        <f>'Js Kbr Ktr '!P30</f>
        <v>9300000</v>
      </c>
      <c r="W17" s="1392"/>
      <c r="X17" s="1392">
        <f t="shared" ref="X17:X23" si="3">SUM(U17:W17)</f>
        <v>9300000</v>
      </c>
      <c r="Y17" s="674"/>
      <c r="Z17" s="1392">
        <f>'Js Kbr Ktr '!T30</f>
        <v>5550000</v>
      </c>
      <c r="AA17" s="1391"/>
      <c r="AB17" s="1392">
        <f t="shared" si="0"/>
        <v>5550000</v>
      </c>
      <c r="AC17" s="674"/>
    </row>
    <row r="18" spans="2:29" ht="14.25" customHeight="1" x14ac:dyDescent="0.25">
      <c r="B18" s="323"/>
      <c r="C18" s="131">
        <v>10</v>
      </c>
      <c r="D18" s="2736" t="s">
        <v>75</v>
      </c>
      <c r="E18" s="2741"/>
      <c r="F18" s="1388" t="s">
        <v>90</v>
      </c>
      <c r="G18" s="1389" t="s">
        <v>527</v>
      </c>
      <c r="H18" s="1390" t="s">
        <v>220</v>
      </c>
      <c r="I18" s="905">
        <f>'ATK '!P28</f>
        <v>21510250</v>
      </c>
      <c r="J18" s="905">
        <f>'ATK '!T28</f>
        <v>10755125</v>
      </c>
      <c r="K18" s="2738">
        <f t="shared" si="1"/>
        <v>-10755125</v>
      </c>
      <c r="L18" s="2739"/>
      <c r="M18" s="2740"/>
      <c r="N18" s="439">
        <f t="shared" si="2"/>
        <v>-50</v>
      </c>
      <c r="P18" s="82"/>
      <c r="Q18" s="1328"/>
      <c r="R18" s="134">
        <v>10</v>
      </c>
      <c r="S18" s="2805" t="s">
        <v>75</v>
      </c>
      <c r="T18" s="2805"/>
      <c r="U18" s="1391"/>
      <c r="V18" s="1392">
        <f>'ATK '!P30</f>
        <v>21510250</v>
      </c>
      <c r="W18" s="1392"/>
      <c r="X18" s="1392">
        <f t="shared" si="3"/>
        <v>21510250</v>
      </c>
      <c r="Y18" s="674"/>
      <c r="Z18" s="1392">
        <f>'ATK '!T30</f>
        <v>10755125</v>
      </c>
      <c r="AA18" s="1391"/>
      <c r="AB18" s="1392">
        <f t="shared" si="0"/>
        <v>10755125</v>
      </c>
      <c r="AC18" s="674"/>
    </row>
    <row r="19" spans="2:29" ht="15.75" customHeight="1" x14ac:dyDescent="0.25">
      <c r="B19" s="323"/>
      <c r="C19" s="131">
        <v>11</v>
      </c>
      <c r="D19" s="2736" t="s">
        <v>387</v>
      </c>
      <c r="E19" s="2741"/>
      <c r="F19" s="1388" t="s">
        <v>90</v>
      </c>
      <c r="G19" s="1389" t="s">
        <v>528</v>
      </c>
      <c r="H19" s="1390" t="s">
        <v>220</v>
      </c>
      <c r="I19" s="905">
        <f>'Cetak dan Penggandaan'!P28</f>
        <v>16000100</v>
      </c>
      <c r="J19" s="905">
        <f>'Cetak dan Penggandaan'!T28</f>
        <v>8000050</v>
      </c>
      <c r="K19" s="2738">
        <f t="shared" si="1"/>
        <v>-8000050</v>
      </c>
      <c r="L19" s="2739"/>
      <c r="M19" s="2740"/>
      <c r="N19" s="439">
        <f t="shared" si="2"/>
        <v>-50</v>
      </c>
      <c r="P19" s="82"/>
      <c r="Q19" s="1328"/>
      <c r="R19" s="134">
        <v>11</v>
      </c>
      <c r="S19" s="2805" t="s">
        <v>387</v>
      </c>
      <c r="T19" s="2805"/>
      <c r="U19" s="1391"/>
      <c r="V19" s="1392">
        <f>'Cetak dan Penggandaan'!P32</f>
        <v>16000100</v>
      </c>
      <c r="W19" s="1392"/>
      <c r="X19" s="1392">
        <f t="shared" si="3"/>
        <v>16000100</v>
      </c>
      <c r="Y19" s="1392"/>
      <c r="Z19" s="994">
        <f>'Cetak dan Penggandaan'!T32</f>
        <v>8000050</v>
      </c>
      <c r="AA19" s="1391"/>
      <c r="AB19" s="1392">
        <f t="shared" si="0"/>
        <v>8000050</v>
      </c>
      <c r="AC19" s="674"/>
    </row>
    <row r="20" spans="2:29" ht="30.75" customHeight="1" x14ac:dyDescent="0.25">
      <c r="B20" s="323"/>
      <c r="C20" s="131">
        <v>12</v>
      </c>
      <c r="D20" s="2736" t="s">
        <v>388</v>
      </c>
      <c r="E20" s="2741"/>
      <c r="F20" s="1388" t="s">
        <v>90</v>
      </c>
      <c r="G20" s="1389" t="s">
        <v>529</v>
      </c>
      <c r="H20" s="1390" t="s">
        <v>220</v>
      </c>
      <c r="I20" s="905">
        <f>'Inslsi Lstrik Ktr'!P28</f>
        <v>5000000</v>
      </c>
      <c r="J20" s="905">
        <f>'Inslsi Lstrik Ktr'!T28</f>
        <v>2500000</v>
      </c>
      <c r="K20" s="2738">
        <f t="shared" si="1"/>
        <v>-2500000</v>
      </c>
      <c r="L20" s="2739"/>
      <c r="M20" s="2740"/>
      <c r="N20" s="439">
        <f t="shared" si="2"/>
        <v>-50</v>
      </c>
      <c r="P20" s="82"/>
      <c r="Q20" s="1328"/>
      <c r="R20" s="134">
        <v>12</v>
      </c>
      <c r="S20" s="2805" t="s">
        <v>388</v>
      </c>
      <c r="T20" s="2805"/>
      <c r="U20" s="1391"/>
      <c r="V20" s="1392">
        <f>'Inslsi Lstrik Ktr'!P33</f>
        <v>5000000</v>
      </c>
      <c r="W20" s="1392"/>
      <c r="X20" s="1392">
        <f t="shared" si="3"/>
        <v>5000000</v>
      </c>
      <c r="Y20" s="1392"/>
      <c r="Z20" s="994">
        <f>'Inslsi Lstrik Ktr'!T33</f>
        <v>2500000</v>
      </c>
      <c r="AA20" s="1391"/>
      <c r="AB20" s="1392">
        <f t="shared" si="0"/>
        <v>2500000</v>
      </c>
      <c r="AC20" s="674"/>
    </row>
    <row r="21" spans="2:29" ht="15" customHeight="1" x14ac:dyDescent="0.25">
      <c r="B21" s="323"/>
      <c r="C21" s="131">
        <v>17</v>
      </c>
      <c r="D21" s="2736" t="s">
        <v>79</v>
      </c>
      <c r="E21" s="2741"/>
      <c r="F21" s="1388" t="s">
        <v>90</v>
      </c>
      <c r="G21" s="1389" t="s">
        <v>530</v>
      </c>
      <c r="H21" s="1390" t="s">
        <v>220</v>
      </c>
      <c r="I21" s="905">
        <f>'Mkan Mnum'!P28</f>
        <v>57190000</v>
      </c>
      <c r="J21" s="905">
        <f>'Mkan Mnum'!T28</f>
        <v>57190000</v>
      </c>
      <c r="K21" s="2738">
        <f t="shared" si="1"/>
        <v>0</v>
      </c>
      <c r="L21" s="2739"/>
      <c r="M21" s="2740"/>
      <c r="N21" s="439">
        <f t="shared" si="2"/>
        <v>0</v>
      </c>
      <c r="P21" s="82"/>
      <c r="Q21" s="1328"/>
      <c r="R21" s="134">
        <v>17</v>
      </c>
      <c r="S21" s="2805" t="s">
        <v>79</v>
      </c>
      <c r="T21" s="2805"/>
      <c r="U21" s="1391"/>
      <c r="V21" s="1392">
        <f>'Mkan Mnum'!P33</f>
        <v>57190000</v>
      </c>
      <c r="W21" s="1392"/>
      <c r="X21" s="1392">
        <f t="shared" si="3"/>
        <v>57190000</v>
      </c>
      <c r="Y21" s="1392"/>
      <c r="Z21" s="994">
        <f>'Mkan Mnum'!T33</f>
        <v>57190000</v>
      </c>
      <c r="AA21" s="1391"/>
      <c r="AB21" s="1392">
        <f t="shared" si="0"/>
        <v>57190000</v>
      </c>
      <c r="AC21" s="674"/>
    </row>
    <row r="22" spans="2:29" ht="33" customHeight="1" x14ac:dyDescent="0.25">
      <c r="B22" s="324"/>
      <c r="C22" s="131">
        <v>18</v>
      </c>
      <c r="D22" s="2736" t="s">
        <v>389</v>
      </c>
      <c r="E22" s="2741"/>
      <c r="F22" s="1388" t="s">
        <v>90</v>
      </c>
      <c r="G22" s="1389" t="s">
        <v>531</v>
      </c>
      <c r="H22" s="1390" t="s">
        <v>220</v>
      </c>
      <c r="I22" s="905">
        <f>'Rapat Luar Daerah'!P28</f>
        <v>174000000</v>
      </c>
      <c r="J22" s="905">
        <f>'Rapat Luar Daerah'!T28</f>
        <v>41042121</v>
      </c>
      <c r="K22" s="2738">
        <f t="shared" si="1"/>
        <v>-132957879</v>
      </c>
      <c r="L22" s="2739"/>
      <c r="M22" s="2740"/>
      <c r="N22" s="439">
        <f t="shared" si="2"/>
        <v>-76.412574137931031</v>
      </c>
      <c r="P22" s="1393"/>
      <c r="Q22" s="1329"/>
      <c r="R22" s="134">
        <v>18</v>
      </c>
      <c r="S22" s="2805" t="s">
        <v>389</v>
      </c>
      <c r="T22" s="2805"/>
      <c r="U22" s="1391"/>
      <c r="V22" s="1392">
        <f>'Rapat Luar Daerah'!P32</f>
        <v>174000000</v>
      </c>
      <c r="W22" s="1392"/>
      <c r="X22" s="1392">
        <f t="shared" si="3"/>
        <v>174000000</v>
      </c>
      <c r="Y22" s="1392"/>
      <c r="Z22" s="994">
        <f>'Rapat Luar Daerah'!T32</f>
        <v>41042121</v>
      </c>
      <c r="AA22" s="1391"/>
      <c r="AB22" s="1392">
        <f t="shared" si="0"/>
        <v>41042121</v>
      </c>
      <c r="AC22" s="674"/>
    </row>
    <row r="23" spans="2:29" ht="36.5" customHeight="1" x14ac:dyDescent="0.25">
      <c r="B23" s="324"/>
      <c r="C23" s="131">
        <v>20</v>
      </c>
      <c r="D23" s="2736" t="s">
        <v>390</v>
      </c>
      <c r="E23" s="2741"/>
      <c r="F23" s="1388" t="s">
        <v>90</v>
      </c>
      <c r="G23" s="1389" t="s">
        <v>397</v>
      </c>
      <c r="H23" s="1390" t="s">
        <v>220</v>
      </c>
      <c r="I23" s="905">
        <f>'Honor Non PNS'!P28</f>
        <v>874860000</v>
      </c>
      <c r="J23" s="905">
        <f>'Honor Non PNS'!T28</f>
        <v>885660000</v>
      </c>
      <c r="K23" s="2738">
        <f t="shared" si="1"/>
        <v>10800000</v>
      </c>
      <c r="L23" s="2739"/>
      <c r="M23" s="2740"/>
      <c r="N23" s="439">
        <f t="shared" si="2"/>
        <v>1.2344832316027707</v>
      </c>
      <c r="P23" s="1393"/>
      <c r="Q23" s="1329"/>
      <c r="R23" s="134">
        <v>20</v>
      </c>
      <c r="S23" s="2805" t="s">
        <v>390</v>
      </c>
      <c r="T23" s="2805"/>
      <c r="U23" s="1391">
        <f>'Honor Non PNS'!P32</f>
        <v>266700000</v>
      </c>
      <c r="V23" s="1392">
        <f>'Honor Non PNS'!P55</f>
        <v>608160000</v>
      </c>
      <c r="W23" s="1392"/>
      <c r="X23" s="1392">
        <f t="shared" si="3"/>
        <v>874860000</v>
      </c>
      <c r="Y23" s="1392">
        <f>'Honor Non PNS'!T32</f>
        <v>277500000</v>
      </c>
      <c r="Z23" s="994">
        <f>'Honor Non PNS'!T55</f>
        <v>608160000</v>
      </c>
      <c r="AA23" s="1391"/>
      <c r="AB23" s="1392">
        <f t="shared" si="0"/>
        <v>885660000</v>
      </c>
      <c r="AC23" s="674"/>
    </row>
    <row r="24" spans="2:29" ht="11.25" customHeight="1" x14ac:dyDescent="0.25">
      <c r="B24" s="323"/>
      <c r="C24" s="131"/>
      <c r="D24" s="1498"/>
      <c r="E24" s="1499"/>
      <c r="F24" s="1394"/>
      <c r="G24" s="1389"/>
      <c r="H24" s="1395"/>
      <c r="I24" s="905">
        <f>SUM(I16:I23)</f>
        <v>1233286350</v>
      </c>
      <c r="J24" s="905">
        <f>SUM(J16:J23)</f>
        <v>1100123296</v>
      </c>
      <c r="K24" s="1493"/>
      <c r="L24" s="1494"/>
      <c r="M24" s="1495"/>
      <c r="N24" s="1396"/>
      <c r="O24" s="1397"/>
      <c r="P24" s="1510"/>
      <c r="Q24" s="1328"/>
      <c r="R24" s="134"/>
      <c r="S24" s="1498"/>
      <c r="T24" s="1499"/>
      <c r="U24" s="880"/>
      <c r="V24" s="1398"/>
      <c r="W24" s="1512"/>
      <c r="X24" s="1399">
        <f>SUM(X16:X23)</f>
        <v>1233286350</v>
      </c>
      <c r="Y24" s="1512"/>
      <c r="Z24" s="1398"/>
      <c r="AA24" s="851"/>
      <c r="AB24" s="1399">
        <f>SUM(AB16:AB23)</f>
        <v>1100123296</v>
      </c>
      <c r="AC24" s="1400">
        <f>SUM(AB24-X24)</f>
        <v>-133163054</v>
      </c>
    </row>
    <row r="25" spans="2:29" ht="29.25" customHeight="1" x14ac:dyDescent="0.25">
      <c r="B25" s="325" t="s">
        <v>87</v>
      </c>
      <c r="C25" s="131"/>
      <c r="D25" s="2749" t="s">
        <v>95</v>
      </c>
      <c r="E25" s="2750"/>
      <c r="F25" s="1394"/>
      <c r="G25" s="1389"/>
      <c r="H25" s="1395"/>
      <c r="I25" s="905"/>
      <c r="J25" s="1401"/>
      <c r="K25" s="1493"/>
      <c r="L25" s="1494"/>
      <c r="M25" s="1495"/>
      <c r="N25" s="1396"/>
      <c r="O25" s="1397"/>
      <c r="P25" s="1510"/>
      <c r="Q25" s="1330" t="s">
        <v>87</v>
      </c>
      <c r="R25" s="134"/>
      <c r="S25" s="2807" t="s">
        <v>95</v>
      </c>
      <c r="T25" s="2807"/>
      <c r="U25" s="880"/>
      <c r="V25" s="1514"/>
      <c r="W25" s="1514"/>
      <c r="X25" s="1514"/>
      <c r="Y25" s="1514"/>
      <c r="Z25" s="674"/>
      <c r="AA25" s="851"/>
      <c r="AB25" s="851"/>
      <c r="AC25" s="674"/>
    </row>
    <row r="26" spans="2:29" ht="29.25" customHeight="1" x14ac:dyDescent="0.25">
      <c r="B26" s="325"/>
      <c r="C26" s="132" t="s">
        <v>94</v>
      </c>
      <c r="D26" s="2736" t="s">
        <v>1018</v>
      </c>
      <c r="E26" s="2737"/>
      <c r="F26" s="1388" t="s">
        <v>90</v>
      </c>
      <c r="G26" s="1389" t="s">
        <v>529</v>
      </c>
      <c r="H26" s="1390" t="s">
        <v>220</v>
      </c>
      <c r="I26" s="905">
        <f>'Pengadaan Peraltan'!P28</f>
        <v>100800000</v>
      </c>
      <c r="J26" s="905">
        <f>'Pengadaan Peraltan'!T28</f>
        <v>0</v>
      </c>
      <c r="K26" s="2738">
        <f t="shared" ref="K26" si="4">J26-I26</f>
        <v>-100800000</v>
      </c>
      <c r="L26" s="2739"/>
      <c r="M26" s="2740"/>
      <c r="N26" s="439">
        <f t="shared" ref="N26" si="5">K26/I26*100</f>
        <v>-100</v>
      </c>
      <c r="O26" s="1397"/>
      <c r="P26" s="1645"/>
      <c r="Q26" s="1330"/>
      <c r="R26" s="135" t="s">
        <v>94</v>
      </c>
      <c r="S26" s="2736" t="s">
        <v>1018</v>
      </c>
      <c r="T26" s="2741"/>
      <c r="U26" s="880"/>
      <c r="V26" s="1646"/>
      <c r="W26" s="2491">
        <f>'Pengadaan Peraltan'!P34</f>
        <v>100800000</v>
      </c>
      <c r="X26" s="1392">
        <f t="shared" ref="X26:X28" si="6">SUM(U26:W26)</f>
        <v>100800000</v>
      </c>
      <c r="Y26" s="1646"/>
      <c r="Z26" s="674"/>
      <c r="AA26" s="851"/>
      <c r="AB26" s="1392">
        <f t="shared" ref="AB26:AB28" si="7">SUM(Y26:AA26)</f>
        <v>0</v>
      </c>
      <c r="AC26" s="674"/>
    </row>
    <row r="27" spans="2:29" ht="30" customHeight="1" x14ac:dyDescent="0.25">
      <c r="B27" s="326"/>
      <c r="C27" s="131">
        <v>24</v>
      </c>
      <c r="D27" s="2736" t="s">
        <v>391</v>
      </c>
      <c r="E27" s="2737"/>
      <c r="F27" s="1388" t="s">
        <v>90</v>
      </c>
      <c r="G27" s="1389" t="s">
        <v>532</v>
      </c>
      <c r="H27" s="1390" t="s">
        <v>220</v>
      </c>
      <c r="I27" s="905">
        <f>'Pemel Kend Dinas '!P28</f>
        <v>65652400</v>
      </c>
      <c r="J27" s="905">
        <f>'Pemel Kend Dinas '!T28</f>
        <v>63085920</v>
      </c>
      <c r="K27" s="2738">
        <f t="shared" ref="K27:K28" si="8">J27-I27</f>
        <v>-2566480</v>
      </c>
      <c r="L27" s="2739"/>
      <c r="M27" s="2740"/>
      <c r="N27" s="439">
        <f t="shared" ref="N27:N28" si="9">K27/I27*100</f>
        <v>-3.9091944848931646</v>
      </c>
      <c r="P27" s="82"/>
      <c r="Q27" s="1331"/>
      <c r="R27" s="134">
        <v>24</v>
      </c>
      <c r="S27" s="2804" t="s">
        <v>391</v>
      </c>
      <c r="T27" s="2804"/>
      <c r="U27" s="1391">
        <f>'Pemel Kend Dinas '!P32</f>
        <v>1500000</v>
      </c>
      <c r="V27" s="1402">
        <f>'Pemel Kend Dinas '!P37</f>
        <v>64152400</v>
      </c>
      <c r="W27" s="1402"/>
      <c r="X27" s="1392">
        <f t="shared" si="6"/>
        <v>65652400</v>
      </c>
      <c r="Y27" s="1402">
        <f>'Pemel Kend Dinas '!T35</f>
        <v>1500000</v>
      </c>
      <c r="Z27" s="994">
        <f>'Pemel Kend Dinas '!T37</f>
        <v>61585920</v>
      </c>
      <c r="AA27" s="1391"/>
      <c r="AB27" s="1392">
        <f t="shared" si="7"/>
        <v>63085920</v>
      </c>
      <c r="AC27" s="674"/>
    </row>
    <row r="28" spans="2:29" ht="29.25" customHeight="1" x14ac:dyDescent="0.25">
      <c r="B28" s="326"/>
      <c r="C28" s="131">
        <v>28</v>
      </c>
      <c r="D28" s="2736" t="s">
        <v>392</v>
      </c>
      <c r="E28" s="2741"/>
      <c r="F28" s="1388" t="s">
        <v>90</v>
      </c>
      <c r="G28" s="1389" t="s">
        <v>533</v>
      </c>
      <c r="H28" s="1390" t="s">
        <v>220</v>
      </c>
      <c r="I28" s="905">
        <f>'Pemel PRLTN GDG KTR '!P28</f>
        <v>181879130</v>
      </c>
      <c r="J28" s="905">
        <f>'Pemel PRLTN GDG KTR '!T28</f>
        <v>21879130</v>
      </c>
      <c r="K28" s="2738">
        <f t="shared" si="8"/>
        <v>-160000000</v>
      </c>
      <c r="L28" s="2739"/>
      <c r="M28" s="2740"/>
      <c r="N28" s="439">
        <f t="shared" si="9"/>
        <v>-87.97051096516681</v>
      </c>
      <c r="P28" s="1510"/>
      <c r="Q28" s="1331"/>
      <c r="R28" s="134">
        <v>28</v>
      </c>
      <c r="S28" s="2805" t="s">
        <v>392</v>
      </c>
      <c r="T28" s="2805"/>
      <c r="U28" s="1391"/>
      <c r="V28" s="1392">
        <f>'Pemel PRLTN GDG KTR '!P33</f>
        <v>181879130</v>
      </c>
      <c r="W28" s="1392"/>
      <c r="X28" s="1392">
        <f t="shared" si="6"/>
        <v>181879130</v>
      </c>
      <c r="Y28" s="1392"/>
      <c r="Z28" s="994">
        <f>'Pemel PRLTN GDG KTR '!T33</f>
        <v>21879130</v>
      </c>
      <c r="AA28" s="1391"/>
      <c r="AB28" s="1392">
        <f t="shared" si="7"/>
        <v>21879130</v>
      </c>
      <c r="AC28" s="674"/>
    </row>
    <row r="29" spans="2:29" ht="13" customHeight="1" x14ac:dyDescent="0.25">
      <c r="B29" s="326"/>
      <c r="C29" s="131"/>
      <c r="D29" s="1498"/>
      <c r="E29" s="1499"/>
      <c r="F29" s="1388"/>
      <c r="G29" s="1389"/>
      <c r="H29" s="1390"/>
      <c r="I29" s="905">
        <f>SUM(I27:I28)</f>
        <v>247531530</v>
      </c>
      <c r="J29" s="905">
        <f>SUM(J27:J28)</f>
        <v>84965050</v>
      </c>
      <c r="K29" s="1493"/>
      <c r="L29" s="1494"/>
      <c r="M29" s="1495"/>
      <c r="N29" s="1624"/>
      <c r="P29" s="1510"/>
      <c r="Q29" s="1331"/>
      <c r="R29" s="134"/>
      <c r="S29" s="1498"/>
      <c r="T29" s="1499"/>
      <c r="U29" s="1391"/>
      <c r="V29" s="1392"/>
      <c r="W29" s="1392"/>
      <c r="X29" s="1399">
        <f>SUM(X26:X28)</f>
        <v>348331530</v>
      </c>
      <c r="Y29" s="1392"/>
      <c r="Z29" s="1399"/>
      <c r="AA29" s="1391"/>
      <c r="AB29" s="1399">
        <f>SUM(AB26:AB28)</f>
        <v>84965050</v>
      </c>
      <c r="AC29" s="674"/>
    </row>
    <row r="30" spans="2:29" ht="29.25" customHeight="1" x14ac:dyDescent="0.25">
      <c r="B30" s="1625" t="s">
        <v>97</v>
      </c>
      <c r="C30" s="131"/>
      <c r="D30" s="2744" t="s">
        <v>1007</v>
      </c>
      <c r="E30" s="2745"/>
      <c r="F30" s="1394"/>
      <c r="G30" s="1389"/>
      <c r="H30" s="1390"/>
      <c r="I30" s="905"/>
      <c r="J30" s="1401"/>
      <c r="K30" s="1493"/>
      <c r="L30" s="1494"/>
      <c r="M30" s="1495"/>
      <c r="N30" s="1396"/>
      <c r="P30" s="1510"/>
      <c r="Q30" s="2492" t="s">
        <v>97</v>
      </c>
      <c r="R30" s="131"/>
      <c r="S30" s="2744" t="s">
        <v>1007</v>
      </c>
      <c r="T30" s="2745"/>
      <c r="U30" s="1394"/>
      <c r="V30" s="1389"/>
      <c r="W30" s="1392"/>
      <c r="X30" s="1392"/>
      <c r="Y30" s="1392"/>
      <c r="Z30" s="994"/>
      <c r="AA30" s="1391"/>
      <c r="AB30" s="1392"/>
      <c r="AC30" s="674"/>
    </row>
    <row r="31" spans="2:29" ht="29.25" customHeight="1" x14ac:dyDescent="0.25">
      <c r="B31" s="326"/>
      <c r="C31" s="132" t="s">
        <v>87</v>
      </c>
      <c r="D31" s="2742" t="s">
        <v>1008</v>
      </c>
      <c r="E31" s="2743"/>
      <c r="F31" s="1388" t="s">
        <v>90</v>
      </c>
      <c r="G31" s="1389" t="s">
        <v>1009</v>
      </c>
      <c r="H31" s="1390" t="s">
        <v>220</v>
      </c>
      <c r="I31" s="905">
        <f>'Baju PDH'!P28</f>
        <v>30800000</v>
      </c>
      <c r="J31" s="905">
        <f>'Baju PDH'!T28</f>
        <v>33000000</v>
      </c>
      <c r="K31" s="2738">
        <f t="shared" ref="K31" si="10">J31-I31</f>
        <v>2200000</v>
      </c>
      <c r="L31" s="2739"/>
      <c r="M31" s="2740"/>
      <c r="N31" s="439">
        <f t="shared" ref="N31" si="11">K31/I31*100</f>
        <v>7.1428571428571423</v>
      </c>
      <c r="P31" s="1510"/>
      <c r="Q31" s="1331"/>
      <c r="R31" s="132" t="s">
        <v>87</v>
      </c>
      <c r="S31" s="2742" t="s">
        <v>1008</v>
      </c>
      <c r="T31" s="2743"/>
      <c r="U31" s="1388"/>
      <c r="V31" s="994">
        <f>'Baju PDH'!P32</f>
        <v>30800000</v>
      </c>
      <c r="W31" s="1392"/>
      <c r="X31" s="1392">
        <f t="shared" ref="X31" si="12">SUM(U31:W31)</f>
        <v>30800000</v>
      </c>
      <c r="Y31" s="1392"/>
      <c r="Z31" s="994">
        <f>'Baju PDH'!T32</f>
        <v>33000000</v>
      </c>
      <c r="AA31" s="1391"/>
      <c r="AB31" s="1392">
        <f t="shared" ref="AB31" si="13">SUM(Y31:AA31)</f>
        <v>33000000</v>
      </c>
      <c r="AC31" s="674"/>
    </row>
    <row r="32" spans="2:29" ht="12.75" customHeight="1" x14ac:dyDescent="0.25">
      <c r="B32" s="326"/>
      <c r="C32" s="131"/>
      <c r="D32" s="1498"/>
      <c r="E32" s="1499"/>
      <c r="F32" s="1394"/>
      <c r="G32" s="1389"/>
      <c r="H32" s="1390"/>
      <c r="I32" s="905">
        <f>SUM(I31)</f>
        <v>30800000</v>
      </c>
      <c r="J32" s="905">
        <f>SUM(J31)</f>
        <v>33000000</v>
      </c>
      <c r="K32" s="2738"/>
      <c r="L32" s="2739"/>
      <c r="M32" s="2740"/>
      <c r="N32" s="1396"/>
      <c r="P32" s="1510"/>
      <c r="Q32" s="1331"/>
      <c r="R32" s="134"/>
      <c r="S32" s="1498"/>
      <c r="T32" s="1499"/>
      <c r="U32" s="880"/>
      <c r="V32" s="1512"/>
      <c r="W32" s="1512"/>
      <c r="X32" s="1399">
        <f>SUM(X31)</f>
        <v>30800000</v>
      </c>
      <c r="Y32" s="1512"/>
      <c r="Z32" s="1399"/>
      <c r="AA32" s="851"/>
      <c r="AB32" s="1399">
        <f>SUM(AB31)</f>
        <v>33000000</v>
      </c>
      <c r="AC32" s="1400">
        <f>SUM(AB32-X32)</f>
        <v>2200000</v>
      </c>
    </row>
    <row r="33" spans="2:29" ht="29.15" customHeight="1" x14ac:dyDescent="0.25">
      <c r="B33" s="130">
        <v>15</v>
      </c>
      <c r="C33" s="131"/>
      <c r="D33" s="2768" t="s">
        <v>476</v>
      </c>
      <c r="E33" s="2769"/>
      <c r="F33" s="1394"/>
      <c r="G33" s="1403"/>
      <c r="H33" s="1404"/>
      <c r="I33" s="1405"/>
      <c r="J33" s="1405"/>
      <c r="K33" s="2738"/>
      <c r="L33" s="2739"/>
      <c r="M33" s="2740"/>
      <c r="N33" s="1406"/>
      <c r="P33" s="82"/>
      <c r="Q33" s="136">
        <v>15</v>
      </c>
      <c r="R33" s="131"/>
      <c r="S33" s="2768" t="s">
        <v>476</v>
      </c>
      <c r="T33" s="2769"/>
      <c r="U33" s="893"/>
      <c r="V33" s="1407"/>
      <c r="W33" s="1407"/>
      <c r="X33" s="1407"/>
      <c r="Y33" s="1407"/>
      <c r="Z33" s="674"/>
      <c r="AA33" s="893"/>
      <c r="AB33" s="893"/>
      <c r="AC33" s="674"/>
    </row>
    <row r="34" spans="2:29" ht="29.15" customHeight="1" x14ac:dyDescent="0.25">
      <c r="B34" s="130"/>
      <c r="C34" s="132" t="s">
        <v>84</v>
      </c>
      <c r="D34" s="2736" t="s">
        <v>526</v>
      </c>
      <c r="E34" s="2741"/>
      <c r="F34" s="1388" t="s">
        <v>90</v>
      </c>
      <c r="G34" s="1389" t="s">
        <v>534</v>
      </c>
      <c r="H34" s="1390" t="s">
        <v>220</v>
      </c>
      <c r="I34" s="905">
        <f>'Statistik Survey Sektoral2'!P28</f>
        <v>32283930</v>
      </c>
      <c r="J34" s="905">
        <f>'Statistik Survey Sektoral2'!T28</f>
        <v>32283930</v>
      </c>
      <c r="K34" s="2738">
        <f t="shared" ref="K34" si="14">J34-I34</f>
        <v>0</v>
      </c>
      <c r="L34" s="2739"/>
      <c r="M34" s="2740"/>
      <c r="N34" s="439">
        <v>0</v>
      </c>
      <c r="P34" s="82"/>
      <c r="Q34" s="2493"/>
      <c r="R34" s="132" t="s">
        <v>84</v>
      </c>
      <c r="S34" s="2742" t="s">
        <v>526</v>
      </c>
      <c r="T34" s="2743"/>
      <c r="U34" s="893">
        <f>'Statistik Survey Sektoral2'!P32</f>
        <v>16100000</v>
      </c>
      <c r="V34" s="1409">
        <f>'Statistik Survey Sektoral2'!P51</f>
        <v>16183930</v>
      </c>
      <c r="W34" s="1407"/>
      <c r="X34" s="1392">
        <f>SUM(U34:W34)</f>
        <v>32283930</v>
      </c>
      <c r="Y34" s="893">
        <f>'Statistik Survey Sektoral2'!T32</f>
        <v>16100000</v>
      </c>
      <c r="Z34" s="1409">
        <f>'Statistik Survey Sektoral2'!T51</f>
        <v>16183930</v>
      </c>
      <c r="AA34" s="893"/>
      <c r="AB34" s="1392">
        <f>SUM(Y34:AA34)</f>
        <v>32283930</v>
      </c>
      <c r="AC34" s="674"/>
    </row>
    <row r="35" spans="2:29" ht="27.65" customHeight="1" x14ac:dyDescent="0.25">
      <c r="B35" s="130"/>
      <c r="C35" s="132" t="s">
        <v>87</v>
      </c>
      <c r="D35" s="2736" t="s">
        <v>442</v>
      </c>
      <c r="E35" s="2741"/>
      <c r="F35" s="1388" t="s">
        <v>90</v>
      </c>
      <c r="G35" s="1389" t="s">
        <v>534</v>
      </c>
      <c r="H35" s="1390" t="s">
        <v>220</v>
      </c>
      <c r="I35" s="905">
        <f>'Statistik Forum Data'!P28</f>
        <v>75164880</v>
      </c>
      <c r="J35" s="905">
        <f>'Statistik Forum Data'!T28</f>
        <v>0</v>
      </c>
      <c r="K35" s="2738">
        <f t="shared" ref="K35" si="15">J35-I35</f>
        <v>-75164880</v>
      </c>
      <c r="L35" s="2739"/>
      <c r="M35" s="2740"/>
      <c r="N35" s="439">
        <v>0</v>
      </c>
      <c r="P35" s="82"/>
      <c r="Q35" s="136"/>
      <c r="R35" s="132" t="s">
        <v>87</v>
      </c>
      <c r="S35" s="2736" t="s">
        <v>442</v>
      </c>
      <c r="T35" s="2741"/>
      <c r="U35" s="1408">
        <f>'Statistik Forum Data'!P32</f>
        <v>71600000</v>
      </c>
      <c r="V35" s="1409">
        <f>'Statistik Forum Data'!P49</f>
        <v>3564880</v>
      </c>
      <c r="W35" s="893">
        <v>0</v>
      </c>
      <c r="X35" s="1392">
        <f>SUM(U35:W35)</f>
        <v>75164880</v>
      </c>
      <c r="Y35" s="1408">
        <f>'Statistik Forum Data'!T32</f>
        <v>0</v>
      </c>
      <c r="Z35" s="1409">
        <f>'Statistik Forum Data'!T49</f>
        <v>0</v>
      </c>
      <c r="AA35" s="893">
        <v>0</v>
      </c>
      <c r="AB35" s="1392">
        <f>SUM(Y35:AA35)</f>
        <v>0</v>
      </c>
      <c r="AC35" s="674"/>
    </row>
    <row r="36" spans="2:29" ht="13.5" customHeight="1" x14ac:dyDescent="0.25">
      <c r="B36" s="327"/>
      <c r="C36" s="131"/>
      <c r="D36" s="1410"/>
      <c r="E36" s="1411"/>
      <c r="F36" s="1412"/>
      <c r="G36" s="1413"/>
      <c r="H36" s="1414"/>
      <c r="I36" s="905">
        <f>SUM(I34:I35)</f>
        <v>107448810</v>
      </c>
      <c r="J36" s="905">
        <f>SUM(J34:J35)</f>
        <v>32283930</v>
      </c>
      <c r="K36" s="1493"/>
      <c r="L36" s="1494"/>
      <c r="M36" s="1495"/>
      <c r="N36" s="1415"/>
      <c r="P36" s="82"/>
      <c r="Q36" s="1332"/>
      <c r="R36" s="134"/>
      <c r="S36" s="1410"/>
      <c r="T36" s="1411"/>
      <c r="U36" s="893"/>
      <c r="V36" s="1407"/>
      <c r="W36" s="1407"/>
      <c r="X36" s="1399">
        <f>SUM(X34:X35)</f>
        <v>107448810</v>
      </c>
      <c r="Y36" s="1407"/>
      <c r="Z36" s="674"/>
      <c r="AA36" s="893"/>
      <c r="AB36" s="1399">
        <f>SUM(AB34:AB35)</f>
        <v>32283930</v>
      </c>
      <c r="AC36" s="1400">
        <f>SUM(AB36-X36)</f>
        <v>-75164880</v>
      </c>
    </row>
    <row r="37" spans="2:29" ht="28.5" customHeight="1" x14ac:dyDescent="0.25">
      <c r="B37" s="130">
        <v>15</v>
      </c>
      <c r="C37" s="131"/>
      <c r="D37" s="2768" t="s">
        <v>383</v>
      </c>
      <c r="E37" s="2769"/>
      <c r="F37" s="1394"/>
      <c r="G37" s="1403"/>
      <c r="H37" s="1404"/>
      <c r="I37" s="1405"/>
      <c r="J37" s="1405"/>
      <c r="K37" s="2738"/>
      <c r="L37" s="2739"/>
      <c r="M37" s="2740"/>
      <c r="N37" s="1406"/>
      <c r="P37" s="82"/>
      <c r="Q37" s="136">
        <v>15</v>
      </c>
      <c r="R37" s="131"/>
      <c r="S37" s="2768" t="s">
        <v>383</v>
      </c>
      <c r="T37" s="2769"/>
      <c r="U37" s="1416"/>
      <c r="V37" s="1333"/>
      <c r="W37" s="1333"/>
      <c r="X37" s="1333"/>
      <c r="Y37" s="1333"/>
      <c r="Z37" s="674"/>
      <c r="AA37" s="1416"/>
      <c r="AB37" s="1416"/>
      <c r="AC37" s="674"/>
    </row>
    <row r="38" spans="2:29" ht="28.5" customHeight="1" x14ac:dyDescent="0.25">
      <c r="B38" s="130"/>
      <c r="C38" s="132" t="s">
        <v>87</v>
      </c>
      <c r="D38" s="2736" t="s">
        <v>1268</v>
      </c>
      <c r="E38" s="2741"/>
      <c r="F38" s="1388" t="s">
        <v>90</v>
      </c>
      <c r="G38" s="1389" t="s">
        <v>1066</v>
      </c>
      <c r="H38" s="1390" t="s">
        <v>220</v>
      </c>
      <c r="I38" s="905">
        <f>'Smart Warnet'!P28</f>
        <v>34771790</v>
      </c>
      <c r="J38" s="905">
        <f>'Smart Warnet'!Q28</f>
        <v>0</v>
      </c>
      <c r="K38" s="2738">
        <f t="shared" ref="K38" si="16">J38-I38</f>
        <v>-34771790</v>
      </c>
      <c r="L38" s="2739"/>
      <c r="M38" s="2740"/>
      <c r="N38" s="439">
        <f t="shared" ref="N38" si="17">K38/I38*100</f>
        <v>-100</v>
      </c>
      <c r="P38" s="82"/>
      <c r="Q38" s="2493"/>
      <c r="R38" s="132" t="s">
        <v>87</v>
      </c>
      <c r="S38" s="2742" t="s">
        <v>1268</v>
      </c>
      <c r="T38" s="2743"/>
      <c r="U38" s="1417">
        <f>'Smart Warnet'!P32</f>
        <v>34100000</v>
      </c>
      <c r="V38" s="2494">
        <f>'Smart Warnet'!P48</f>
        <v>671790</v>
      </c>
      <c r="W38" s="1420"/>
      <c r="X38" s="1392">
        <f t="shared" ref="X38:X41" si="18">SUM(U38:W38)</f>
        <v>34771790</v>
      </c>
      <c r="Y38" s="1417">
        <f>'Smart Warnet'!T32</f>
        <v>0</v>
      </c>
      <c r="Z38" s="2494">
        <f>'Smart Warnet'!T48</f>
        <v>0</v>
      </c>
      <c r="AA38" s="1416"/>
      <c r="AB38" s="1392">
        <f t="shared" ref="AB38:AB41" si="19">SUM(Y38:AA38)</f>
        <v>0</v>
      </c>
      <c r="AC38" s="674"/>
    </row>
    <row r="39" spans="2:29" ht="28.5" customHeight="1" x14ac:dyDescent="0.25">
      <c r="B39" s="130"/>
      <c r="C39" s="132" t="s">
        <v>97</v>
      </c>
      <c r="D39" s="2736" t="s">
        <v>475</v>
      </c>
      <c r="E39" s="2741"/>
      <c r="F39" s="1388" t="s">
        <v>90</v>
      </c>
      <c r="G39" s="1389" t="s">
        <v>535</v>
      </c>
      <c r="H39" s="1390" t="s">
        <v>220</v>
      </c>
      <c r="I39" s="905">
        <f>'Smart UUD40'!P28</f>
        <v>467490200</v>
      </c>
      <c r="J39" s="905">
        <f>'Smart UUD40'!T28</f>
        <v>388505100</v>
      </c>
      <c r="K39" s="2738">
        <f t="shared" ref="K39" si="20">J39-I39</f>
        <v>-78985100</v>
      </c>
      <c r="L39" s="2739"/>
      <c r="M39" s="2740"/>
      <c r="N39" s="439">
        <f t="shared" ref="N39:N41" si="21">K39/I39*100</f>
        <v>-16.895562730512854</v>
      </c>
      <c r="P39" s="82"/>
      <c r="Q39" s="136"/>
      <c r="R39" s="132" t="s">
        <v>97</v>
      </c>
      <c r="S39" s="2736" t="s">
        <v>475</v>
      </c>
      <c r="T39" s="2741"/>
      <c r="U39" s="1417">
        <f>'Smart UUD40'!P32</f>
        <v>78500000</v>
      </c>
      <c r="V39" s="1418">
        <f>'Smart UUD40'!P60</f>
        <v>388990200</v>
      </c>
      <c r="W39" s="1333"/>
      <c r="X39" s="1392">
        <f t="shared" si="18"/>
        <v>467490200</v>
      </c>
      <c r="Y39" s="1417">
        <f>'Smart UUD40'!T32</f>
        <v>1800000</v>
      </c>
      <c r="Z39" s="1418">
        <f>'Smart UUD40'!T60</f>
        <v>386705100</v>
      </c>
      <c r="AA39" s="1333"/>
      <c r="AB39" s="1392">
        <f t="shared" si="19"/>
        <v>388505100</v>
      </c>
      <c r="AC39" s="674"/>
    </row>
    <row r="40" spans="2:29" ht="30" customHeight="1" x14ac:dyDescent="0.25">
      <c r="B40" s="322"/>
      <c r="C40" s="132" t="s">
        <v>86</v>
      </c>
      <c r="D40" s="2736" t="s">
        <v>393</v>
      </c>
      <c r="E40" s="2741"/>
      <c r="F40" s="1388" t="s">
        <v>90</v>
      </c>
      <c r="G40" s="1389" t="s">
        <v>536</v>
      </c>
      <c r="H40" s="1390" t="s">
        <v>220</v>
      </c>
      <c r="I40" s="905">
        <f>'E-Gov Infrastruktur'!P28</f>
        <v>2363734350</v>
      </c>
      <c r="J40" s="905">
        <f>'E-Gov Infrastruktur'!T28</f>
        <v>1921938942</v>
      </c>
      <c r="K40" s="2738">
        <f>J40-I40</f>
        <v>-441795408</v>
      </c>
      <c r="L40" s="2739"/>
      <c r="M40" s="2740"/>
      <c r="N40" s="439">
        <f t="shared" si="21"/>
        <v>-18.690569352685507</v>
      </c>
      <c r="P40" s="82"/>
      <c r="Q40" s="989"/>
      <c r="R40" s="132" t="s">
        <v>86</v>
      </c>
      <c r="S40" s="2736" t="s">
        <v>393</v>
      </c>
      <c r="T40" s="2741"/>
      <c r="U40" s="1419">
        <f>'E-Gov Infrastruktur'!P32</f>
        <v>67100000</v>
      </c>
      <c r="V40" s="1392">
        <f>'E-Gov Infrastruktur'!P67</f>
        <v>594259350</v>
      </c>
      <c r="W40" s="1392">
        <f>'E-Gov Infrastruktur'!P116</f>
        <v>1702375000</v>
      </c>
      <c r="X40" s="1392">
        <f t="shared" si="18"/>
        <v>2363734350</v>
      </c>
      <c r="Y40" s="1419">
        <f>'E-Gov Infrastruktur'!T32</f>
        <v>8100000</v>
      </c>
      <c r="Z40" s="1392">
        <f>'E-Gov Infrastruktur'!T67</f>
        <v>462608100</v>
      </c>
      <c r="AA40" s="1392">
        <f>'E-Gov Infrastruktur'!T116</f>
        <v>1451230842</v>
      </c>
      <c r="AB40" s="1392">
        <f t="shared" si="19"/>
        <v>1921938942</v>
      </c>
      <c r="AC40" s="674"/>
    </row>
    <row r="41" spans="2:29" ht="28.5" customHeight="1" x14ac:dyDescent="0.25">
      <c r="B41" s="328"/>
      <c r="C41" s="132" t="s">
        <v>109</v>
      </c>
      <c r="D41" s="2736" t="s">
        <v>209</v>
      </c>
      <c r="E41" s="2741"/>
      <c r="F41" s="1388" t="s">
        <v>90</v>
      </c>
      <c r="G41" s="1389" t="s">
        <v>398</v>
      </c>
      <c r="H41" s="1390" t="s">
        <v>220</v>
      </c>
      <c r="I41" s="905">
        <f>'E-Gov Aplikasi'!P28</f>
        <v>388894860</v>
      </c>
      <c r="J41" s="905">
        <f>'E-Gov Aplikasi'!T28</f>
        <v>313577430</v>
      </c>
      <c r="K41" s="2738">
        <f>J41-I41</f>
        <v>-75317430</v>
      </c>
      <c r="L41" s="2739"/>
      <c r="M41" s="2740"/>
      <c r="N41" s="439">
        <f t="shared" si="21"/>
        <v>-19.367041775764278</v>
      </c>
      <c r="P41" s="82"/>
      <c r="Q41" s="1334"/>
      <c r="R41" s="132" t="s">
        <v>109</v>
      </c>
      <c r="S41" s="2736" t="s">
        <v>209</v>
      </c>
      <c r="T41" s="2741"/>
      <c r="U41" s="1419">
        <f>'E-Gov Aplikasi'!P32</f>
        <v>89815000</v>
      </c>
      <c r="V41" s="1392">
        <f>'E-Gov Aplikasi'!P78</f>
        <v>299079860</v>
      </c>
      <c r="W41" s="1392">
        <v>0</v>
      </c>
      <c r="X41" s="1392">
        <f t="shared" si="18"/>
        <v>388894860</v>
      </c>
      <c r="Y41" s="1419">
        <f>'E-Gov Aplikasi'!T32</f>
        <v>150100000</v>
      </c>
      <c r="Z41" s="1392">
        <f>'E-Gov Aplikasi'!T78</f>
        <v>163477430</v>
      </c>
      <c r="AA41" s="1392">
        <v>0</v>
      </c>
      <c r="AB41" s="1392">
        <f t="shared" si="19"/>
        <v>313577430</v>
      </c>
      <c r="AC41" s="674"/>
    </row>
    <row r="42" spans="2:29" ht="13.5" customHeight="1" x14ac:dyDescent="0.25">
      <c r="B42" s="327"/>
      <c r="C42" s="131"/>
      <c r="D42" s="1507"/>
      <c r="E42" s="1508"/>
      <c r="F42" s="1388"/>
      <c r="G42" s="1403"/>
      <c r="H42" s="1404"/>
      <c r="I42" s="1405">
        <f>SUM(I39:I41)</f>
        <v>3220119410</v>
      </c>
      <c r="J42" s="1405">
        <f>SUM(J39:J41)</f>
        <v>2624021472</v>
      </c>
      <c r="K42" s="1493"/>
      <c r="L42" s="1494"/>
      <c r="M42" s="1495"/>
      <c r="N42" s="1396"/>
      <c r="P42" s="82"/>
      <c r="Q42" s="1332"/>
      <c r="R42" s="134"/>
      <c r="S42" s="1507"/>
      <c r="T42" s="1508"/>
      <c r="U42" s="1416"/>
      <c r="V42" s="1420"/>
      <c r="W42" s="1420"/>
      <c r="X42" s="1399">
        <f>SUM(X38:X41)</f>
        <v>3254891200</v>
      </c>
      <c r="Y42" s="1420"/>
      <c r="Z42" s="674"/>
      <c r="AA42" s="1416"/>
      <c r="AB42" s="1399">
        <f>SUM(AB38:AB41)</f>
        <v>2624021472</v>
      </c>
      <c r="AC42" s="1400">
        <f>SUM(AB42-X42)</f>
        <v>-630869728</v>
      </c>
    </row>
    <row r="43" spans="2:29" ht="29" customHeight="1" x14ac:dyDescent="0.25">
      <c r="B43" s="130">
        <v>16</v>
      </c>
      <c r="C43" s="131"/>
      <c r="D43" s="2768" t="s">
        <v>1269</v>
      </c>
      <c r="E43" s="2769"/>
      <c r="F43" s="1388"/>
      <c r="G43" s="1403"/>
      <c r="H43" s="1404"/>
      <c r="I43" s="1405"/>
      <c r="J43" s="1405"/>
      <c r="K43" s="1640"/>
      <c r="L43" s="1641"/>
      <c r="M43" s="1642"/>
      <c r="N43" s="1396"/>
      <c r="P43" s="82"/>
      <c r="Q43" s="1332">
        <v>16</v>
      </c>
      <c r="R43" s="131"/>
      <c r="S43" s="2768" t="s">
        <v>1269</v>
      </c>
      <c r="T43" s="2769"/>
      <c r="U43" s="1416"/>
      <c r="V43" s="1420"/>
      <c r="W43" s="1420"/>
      <c r="X43" s="1399"/>
      <c r="Y43" s="1420"/>
      <c r="Z43" s="674"/>
      <c r="AA43" s="1416"/>
      <c r="AB43" s="1399"/>
      <c r="AC43" s="1400"/>
    </row>
    <row r="44" spans="2:29" ht="28" customHeight="1" x14ac:dyDescent="0.25">
      <c r="B44" s="322"/>
      <c r="C44" s="132" t="s">
        <v>84</v>
      </c>
      <c r="D44" s="2742" t="s">
        <v>1269</v>
      </c>
      <c r="E44" s="2743"/>
      <c r="F44" s="1421" t="s">
        <v>90</v>
      </c>
      <c r="G44" s="1389" t="s">
        <v>398</v>
      </c>
      <c r="H44" s="1390" t="s">
        <v>220</v>
      </c>
      <c r="I44" s="905">
        <f>'Smart Suwarga'!P28</f>
        <v>192447300</v>
      </c>
      <c r="J44" s="905">
        <f>'Smart Suwarga'!Q28</f>
        <v>0</v>
      </c>
      <c r="K44" s="2738">
        <f t="shared" ref="K44" si="22">J44-I44</f>
        <v>-192447300</v>
      </c>
      <c r="L44" s="2739"/>
      <c r="M44" s="2740"/>
      <c r="N44" s="439">
        <f t="shared" ref="N44" si="23">K44/I44*100</f>
        <v>-100</v>
      </c>
      <c r="P44" s="82"/>
      <c r="Q44" s="1332"/>
      <c r="R44" s="132" t="s">
        <v>84</v>
      </c>
      <c r="S44" s="2742" t="s">
        <v>1269</v>
      </c>
      <c r="T44" s="2743"/>
      <c r="U44" s="1416">
        <f>'Smart Suwarga'!P32</f>
        <v>59700000</v>
      </c>
      <c r="V44" s="2494">
        <f>'Smart Suwarga'!P70</f>
        <v>132747300</v>
      </c>
      <c r="W44" s="1420"/>
      <c r="X44" s="1392">
        <f t="shared" ref="X44" si="24">SUM(U44:W44)</f>
        <v>192447300</v>
      </c>
      <c r="Y44" s="1416">
        <f>'Smart Suwarga'!T32</f>
        <v>0</v>
      </c>
      <c r="Z44" s="2494">
        <f>'Smart Suwarga'!T70</f>
        <v>0</v>
      </c>
      <c r="AA44" s="1416"/>
      <c r="AB44" s="1392">
        <f t="shared" ref="AB44" si="25">SUM(Y44:AA44)</f>
        <v>0</v>
      </c>
      <c r="AC44" s="1400"/>
    </row>
    <row r="45" spans="2:29" ht="13.5" customHeight="1" x14ac:dyDescent="0.25">
      <c r="B45" s="327"/>
      <c r="C45" s="131"/>
      <c r="D45" s="1638"/>
      <c r="E45" s="1639"/>
      <c r="F45" s="1388"/>
      <c r="G45" s="1403"/>
      <c r="H45" s="1404"/>
      <c r="I45" s="1405"/>
      <c r="J45" s="1405"/>
      <c r="K45" s="1640"/>
      <c r="L45" s="1641"/>
      <c r="M45" s="1642"/>
      <c r="N45" s="1396"/>
      <c r="P45" s="82"/>
      <c r="Q45" s="1332"/>
      <c r="R45" s="131"/>
      <c r="S45" s="1638"/>
      <c r="T45" s="1639"/>
      <c r="U45" s="1416"/>
      <c r="V45" s="1420"/>
      <c r="W45" s="1420"/>
      <c r="X45" s="1399">
        <f>SUM(X44)</f>
        <v>192447300</v>
      </c>
      <c r="Y45" s="1420"/>
      <c r="Z45" s="674"/>
      <c r="AA45" s="1416"/>
      <c r="AB45" s="1399">
        <f>SUM(AB44)</f>
        <v>0</v>
      </c>
      <c r="AC45" s="1400"/>
    </row>
    <row r="46" spans="2:29" ht="30" customHeight="1" x14ac:dyDescent="0.25">
      <c r="B46" s="130">
        <v>17</v>
      </c>
      <c r="C46" s="131"/>
      <c r="D46" s="2768" t="s">
        <v>1270</v>
      </c>
      <c r="E46" s="2769"/>
      <c r="F46" s="1388"/>
      <c r="G46" s="1403"/>
      <c r="H46" s="1404"/>
      <c r="I46" s="1405"/>
      <c r="J46" s="1405"/>
      <c r="K46" s="1640"/>
      <c r="L46" s="1641"/>
      <c r="M46" s="1642"/>
      <c r="N46" s="1396"/>
      <c r="P46" s="82"/>
      <c r="Q46" s="1332">
        <v>17</v>
      </c>
      <c r="R46" s="131"/>
      <c r="S46" s="2768" t="s">
        <v>1270</v>
      </c>
      <c r="T46" s="2769"/>
      <c r="U46" s="1416"/>
      <c r="V46" s="1420"/>
      <c r="W46" s="1420"/>
      <c r="X46" s="1399"/>
      <c r="Y46" s="1420"/>
      <c r="Z46" s="674"/>
      <c r="AA46" s="1416"/>
      <c r="AB46" s="1399"/>
      <c r="AC46" s="1400"/>
    </row>
    <row r="47" spans="2:29" ht="30" customHeight="1" x14ac:dyDescent="0.25">
      <c r="B47" s="322"/>
      <c r="C47" s="132" t="s">
        <v>84</v>
      </c>
      <c r="D47" s="2742" t="s">
        <v>1151</v>
      </c>
      <c r="E47" s="2743"/>
      <c r="F47" s="1421" t="s">
        <v>90</v>
      </c>
      <c r="G47" s="1389" t="s">
        <v>535</v>
      </c>
      <c r="H47" s="1390" t="s">
        <v>220</v>
      </c>
      <c r="I47" s="905">
        <f>'Smart Pelatihan Pers'!P28</f>
        <v>15312600</v>
      </c>
      <c r="J47" s="905">
        <f>'Smart Pelatihan Pers'!Q28</f>
        <v>0</v>
      </c>
      <c r="K47" s="2738">
        <f t="shared" ref="K47" si="26">J47-I47</f>
        <v>-15312600</v>
      </c>
      <c r="L47" s="2739"/>
      <c r="M47" s="2740"/>
      <c r="N47" s="439">
        <f t="shared" ref="N47" si="27">K47/I47*100</f>
        <v>-100</v>
      </c>
      <c r="P47" s="82"/>
      <c r="Q47" s="1332"/>
      <c r="R47" s="132" t="s">
        <v>84</v>
      </c>
      <c r="S47" s="2742" t="s">
        <v>1151</v>
      </c>
      <c r="T47" s="2743"/>
      <c r="U47" s="1416">
        <f>'Smart Pelatihan Pers'!P32</f>
        <v>7250000</v>
      </c>
      <c r="V47" s="2494">
        <f>'Smart Pelatihan Pers'!P45</f>
        <v>8062600</v>
      </c>
      <c r="W47" s="1420"/>
      <c r="X47" s="1392">
        <f t="shared" ref="X47" si="28">SUM(U47:W47)</f>
        <v>15312600</v>
      </c>
      <c r="Y47" s="1416">
        <f>'Smart Pelatihan Pers'!T32</f>
        <v>0</v>
      </c>
      <c r="Z47" s="2494">
        <f>'Smart Pelatihan Pers'!T45</f>
        <v>0</v>
      </c>
      <c r="AA47" s="1416"/>
      <c r="AB47" s="1392">
        <f t="shared" ref="AB47" si="29">SUM(Y47:AA47)</f>
        <v>0</v>
      </c>
      <c r="AC47" s="1400"/>
    </row>
    <row r="48" spans="2:29" ht="13.5" customHeight="1" x14ac:dyDescent="0.25">
      <c r="B48" s="322"/>
      <c r="C48" s="132"/>
      <c r="D48" s="1638"/>
      <c r="E48" s="1639"/>
      <c r="F48" s="1421"/>
      <c r="G48" s="1389"/>
      <c r="H48" s="1390"/>
      <c r="I48" s="905"/>
      <c r="J48" s="905"/>
      <c r="K48" s="1640"/>
      <c r="L48" s="1641"/>
      <c r="M48" s="1642"/>
      <c r="N48" s="1624"/>
      <c r="P48" s="82"/>
      <c r="Q48" s="1332"/>
      <c r="R48" s="131"/>
      <c r="S48" s="1638"/>
      <c r="T48" s="1639"/>
      <c r="U48" s="1416"/>
      <c r="V48" s="1420"/>
      <c r="W48" s="1420"/>
      <c r="X48" s="1399">
        <f>SUM(X47)</f>
        <v>15312600</v>
      </c>
      <c r="Y48" s="1420"/>
      <c r="Z48" s="674"/>
      <c r="AA48" s="1416"/>
      <c r="AB48" s="1399">
        <f>SUM(AB47)</f>
        <v>0</v>
      </c>
      <c r="AC48" s="1400"/>
    </row>
    <row r="49" spans="2:29" ht="17.25" customHeight="1" x14ac:dyDescent="0.25">
      <c r="B49" s="130">
        <v>18</v>
      </c>
      <c r="C49" s="131"/>
      <c r="D49" s="2802" t="s">
        <v>384</v>
      </c>
      <c r="E49" s="2803"/>
      <c r="F49" s="1388"/>
      <c r="G49" s="1403"/>
      <c r="H49" s="1404"/>
      <c r="I49" s="1405"/>
      <c r="J49" s="1405"/>
      <c r="K49" s="1493"/>
      <c r="L49" s="1494"/>
      <c r="M49" s="1495"/>
      <c r="N49" s="1396"/>
      <c r="P49" s="82"/>
      <c r="Q49" s="136">
        <v>18</v>
      </c>
      <c r="R49" s="131"/>
      <c r="S49" s="2802" t="s">
        <v>384</v>
      </c>
      <c r="T49" s="2803"/>
      <c r="U49" s="1416"/>
      <c r="V49" s="1335"/>
      <c r="W49" s="1335"/>
      <c r="X49" s="1335"/>
      <c r="Y49" s="1416"/>
      <c r="Z49" s="1335"/>
      <c r="AA49" s="1416"/>
      <c r="AB49" s="1416"/>
      <c r="AC49" s="674"/>
    </row>
    <row r="50" spans="2:29" ht="32" customHeight="1" x14ac:dyDescent="0.25">
      <c r="B50" s="322"/>
      <c r="C50" s="132" t="s">
        <v>84</v>
      </c>
      <c r="D50" s="2742" t="s">
        <v>394</v>
      </c>
      <c r="E50" s="2743"/>
      <c r="F50" s="1421" t="s">
        <v>90</v>
      </c>
      <c r="G50" s="1389" t="s">
        <v>537</v>
      </c>
      <c r="H50" s="1390" t="s">
        <v>220</v>
      </c>
      <c r="I50" s="905">
        <f>'PPID&amp;Propaganda'!P28</f>
        <v>660297000</v>
      </c>
      <c r="J50" s="905">
        <f>'PPID&amp;Propaganda'!T28</f>
        <v>805473500</v>
      </c>
      <c r="K50" s="2738">
        <f t="shared" ref="K50:K52" si="30">J50-I50</f>
        <v>145176500</v>
      </c>
      <c r="L50" s="2739"/>
      <c r="M50" s="2740"/>
      <c r="N50" s="439">
        <f t="shared" ref="N50:N52" si="31">K50/I50*100</f>
        <v>21.986545448487576</v>
      </c>
      <c r="P50" s="82"/>
      <c r="Q50" s="989"/>
      <c r="R50" s="132" t="s">
        <v>84</v>
      </c>
      <c r="S50" s="2742" t="s">
        <v>394</v>
      </c>
      <c r="T50" s="2743"/>
      <c r="U50" s="1422">
        <f>'PPID&amp;Propaganda'!P32</f>
        <v>4350000</v>
      </c>
      <c r="V50" s="1423">
        <f>'PPID&amp;Propaganda'!P44</f>
        <v>655947000</v>
      </c>
      <c r="W50" s="1423"/>
      <c r="X50" s="1392">
        <f t="shared" ref="X50:X51" si="32">SUM(U50:W50)</f>
        <v>660297000</v>
      </c>
      <c r="Y50" s="1422">
        <f>'PPID&amp;Propaganda'!T32</f>
        <v>3450000</v>
      </c>
      <c r="Z50" s="1423">
        <f>'PPID&amp;Propaganda'!T44</f>
        <v>802023500</v>
      </c>
      <c r="AA50" s="608"/>
      <c r="AB50" s="1392">
        <f t="shared" ref="AB50:AB52" si="33">SUM(Y50:AA50)</f>
        <v>805473500</v>
      </c>
      <c r="AC50" s="674"/>
    </row>
    <row r="51" spans="2:29" ht="29.25" customHeight="1" x14ac:dyDescent="0.25">
      <c r="B51" s="328"/>
      <c r="C51" s="132" t="s">
        <v>87</v>
      </c>
      <c r="D51" s="2742" t="s">
        <v>395</v>
      </c>
      <c r="E51" s="2743"/>
      <c r="F51" s="1421" t="s">
        <v>90</v>
      </c>
      <c r="G51" s="1389" t="s">
        <v>538</v>
      </c>
      <c r="H51" s="1390" t="s">
        <v>220</v>
      </c>
      <c r="I51" s="905">
        <f>'Desiminasi Info'!P28</f>
        <v>111704220</v>
      </c>
      <c r="J51" s="905">
        <f>'Desiminasi Info'!T28</f>
        <v>302444220</v>
      </c>
      <c r="K51" s="2738">
        <f t="shared" si="30"/>
        <v>190740000</v>
      </c>
      <c r="L51" s="2739"/>
      <c r="M51" s="2740"/>
      <c r="N51" s="439">
        <f t="shared" si="31"/>
        <v>170.75451580969815</v>
      </c>
      <c r="P51" s="82"/>
      <c r="Q51" s="1334"/>
      <c r="R51" s="132" t="s">
        <v>87</v>
      </c>
      <c r="S51" s="2742" t="s">
        <v>395</v>
      </c>
      <c r="T51" s="2743"/>
      <c r="U51" s="1422">
        <f>'Desiminasi Info'!P32</f>
        <v>2600000</v>
      </c>
      <c r="V51" s="1423">
        <f>'Desiminasi Info'!P53</f>
        <v>109104220</v>
      </c>
      <c r="W51" s="1423"/>
      <c r="X51" s="1392">
        <f t="shared" si="32"/>
        <v>111704220</v>
      </c>
      <c r="Y51" s="1422">
        <f>'Desiminasi Info'!T32</f>
        <v>45200000</v>
      </c>
      <c r="Z51" s="1423">
        <f>'Desiminasi Info'!T53</f>
        <v>170794220</v>
      </c>
      <c r="AA51" s="608">
        <f>'Desiminasi Info'!T78</f>
        <v>86450000</v>
      </c>
      <c r="AB51" s="1392">
        <f t="shared" si="33"/>
        <v>302444220</v>
      </c>
      <c r="AC51" s="674"/>
    </row>
    <row r="52" spans="2:29" ht="30.75" customHeight="1" thickBot="1" x14ac:dyDescent="0.3">
      <c r="B52" s="328"/>
      <c r="C52" s="132" t="s">
        <v>97</v>
      </c>
      <c r="D52" s="2742" t="s">
        <v>396</v>
      </c>
      <c r="E52" s="2743"/>
      <c r="F52" s="1421" t="s">
        <v>90</v>
      </c>
      <c r="G52" s="1389" t="s">
        <v>538</v>
      </c>
      <c r="H52" s="1390" t="s">
        <v>220</v>
      </c>
      <c r="I52" s="905">
        <f>KIG!P28</f>
        <v>54211380</v>
      </c>
      <c r="J52" s="905">
        <f>KIG!T28</f>
        <v>47211380</v>
      </c>
      <c r="K52" s="2738">
        <f t="shared" si="30"/>
        <v>-7000000</v>
      </c>
      <c r="L52" s="2739"/>
      <c r="M52" s="2740"/>
      <c r="N52" s="439">
        <f t="shared" si="31"/>
        <v>-12.912418019980306</v>
      </c>
      <c r="P52" s="82"/>
      <c r="Q52" s="1334"/>
      <c r="R52" s="132" t="s">
        <v>97</v>
      </c>
      <c r="S52" s="2742" t="s">
        <v>396</v>
      </c>
      <c r="T52" s="2743"/>
      <c r="U52" s="1424">
        <f>KIG!P32</f>
        <v>13300000</v>
      </c>
      <c r="V52" s="1427">
        <f>KIG!P49</f>
        <v>40911380</v>
      </c>
      <c r="W52" s="1425"/>
      <c r="X52" s="1426">
        <f>SUM(U52:W52)</f>
        <v>54211380</v>
      </c>
      <c r="Y52" s="1424">
        <f>KIG!T32</f>
        <v>7600000</v>
      </c>
      <c r="Z52" s="1427">
        <f>KIG!T49</f>
        <v>39611380</v>
      </c>
      <c r="AA52" s="1428"/>
      <c r="AB52" s="1426">
        <f t="shared" si="33"/>
        <v>47211380</v>
      </c>
      <c r="AC52" s="1429"/>
    </row>
    <row r="53" spans="2:29" ht="14" x14ac:dyDescent="0.25">
      <c r="B53" s="1430"/>
      <c r="C53" s="1431"/>
      <c r="D53" s="2785"/>
      <c r="E53" s="2786"/>
      <c r="F53" s="1509"/>
      <c r="G53" s="1432"/>
      <c r="H53" s="1433"/>
      <c r="I53" s="1434">
        <f>SUM(I50:I52)</f>
        <v>826212600</v>
      </c>
      <c r="J53" s="1434">
        <f>SUM(J50:J52)</f>
        <v>1155129100</v>
      </c>
      <c r="K53" s="2787"/>
      <c r="L53" s="2788"/>
      <c r="M53" s="2789"/>
      <c r="N53" s="1435"/>
      <c r="P53" s="78"/>
      <c r="Q53" s="1336"/>
      <c r="R53" s="137"/>
      <c r="S53" s="1436"/>
      <c r="T53" s="1508" t="s">
        <v>126</v>
      </c>
      <c r="U53" s="1437">
        <f>SUM(U16:U52)</f>
        <v>712615000</v>
      </c>
      <c r="V53" s="1438">
        <f>SUM(V16:V52)</f>
        <v>3492940390</v>
      </c>
      <c r="W53" s="1438">
        <f>SUM(W16:W52)</f>
        <v>1803175000</v>
      </c>
      <c r="X53" s="1399">
        <f>SUM(X50:X52)</f>
        <v>826212600</v>
      </c>
      <c r="Y53" s="1437">
        <f>SUM(Y16:Y52)</f>
        <v>511350000</v>
      </c>
      <c r="Z53" s="1439">
        <f>SUM(Z16:Z52)</f>
        <v>2980492006</v>
      </c>
      <c r="AA53" s="1439">
        <f>SUM(AA16:AA52)</f>
        <v>1537680842</v>
      </c>
      <c r="AB53" s="1399">
        <f>SUM(AB50:AB52)</f>
        <v>1155129100</v>
      </c>
      <c r="AC53" s="1400">
        <f>SUM(AB53-X53)</f>
        <v>328916500</v>
      </c>
    </row>
    <row r="54" spans="2:29" ht="14.5" thickBot="1" x14ac:dyDescent="0.3">
      <c r="B54" s="2798" t="s">
        <v>126</v>
      </c>
      <c r="C54" s="2799"/>
      <c r="D54" s="2799"/>
      <c r="E54" s="2799"/>
      <c r="F54" s="2799"/>
      <c r="G54" s="2800"/>
      <c r="H54" s="1440">
        <v>0</v>
      </c>
      <c r="I54" s="1441">
        <f>SUM(I53+I42+I36+I32+I24+I29)</f>
        <v>5665398700</v>
      </c>
      <c r="J54" s="1441">
        <f>SUM(J53+J42+J36+J32+J24+J29)</f>
        <v>5029522848</v>
      </c>
      <c r="K54" s="2791">
        <f>SUM(K16:M52)</f>
        <v>-979207542</v>
      </c>
      <c r="L54" s="2792"/>
      <c r="M54" s="2793"/>
      <c r="N54" s="1442">
        <f>SUM(N16:N52)</f>
        <v>-606.8008116493379</v>
      </c>
      <c r="O54" s="1443"/>
      <c r="P54" s="1443"/>
      <c r="Q54" s="1118"/>
      <c r="R54" s="972"/>
      <c r="S54" s="2801"/>
      <c r="T54" s="2801"/>
      <c r="U54" s="1444"/>
      <c r="V54" s="1511"/>
      <c r="W54" s="1445">
        <f>SUM(U53:W53)</f>
        <v>6008730390</v>
      </c>
      <c r="X54" s="1445"/>
      <c r="Y54" s="1511"/>
      <c r="Z54" s="972"/>
      <c r="AA54" s="1445">
        <f>SUM(Y53:AA53)</f>
        <v>5029522848</v>
      </c>
      <c r="AB54" s="1445"/>
      <c r="AC54" s="1446">
        <f>SUM(AA54-W54)</f>
        <v>-979207542</v>
      </c>
    </row>
    <row r="55" spans="2:29" ht="13" thickTop="1" x14ac:dyDescent="0.25">
      <c r="B55" s="2794"/>
      <c r="C55" s="2795"/>
      <c r="D55" s="2795"/>
      <c r="E55" s="2795"/>
      <c r="F55" s="2795"/>
      <c r="G55" s="2795"/>
      <c r="H55" s="2795"/>
      <c r="I55" s="2795"/>
      <c r="J55" s="2795"/>
      <c r="K55" s="2795"/>
      <c r="L55" s="2795"/>
      <c r="M55" s="2795"/>
      <c r="N55" s="2796"/>
      <c r="P55" s="82"/>
      <c r="Q55" s="1510"/>
      <c r="R55" s="1510"/>
      <c r="S55" s="1510"/>
      <c r="T55" s="1510"/>
      <c r="U55" s="1510"/>
      <c r="V55" s="1510"/>
      <c r="W55" s="1510"/>
      <c r="X55" s="1510"/>
      <c r="Y55" s="1510"/>
    </row>
    <row r="56" spans="2:29" ht="12.75" customHeight="1" x14ac:dyDescent="0.25">
      <c r="B56" s="1447"/>
      <c r="C56" s="1510"/>
      <c r="D56" s="2797"/>
      <c r="E56" s="2797"/>
      <c r="F56" s="2797"/>
      <c r="G56" s="2797"/>
      <c r="H56" s="1488"/>
      <c r="I56" s="1488"/>
      <c r="J56" s="1488"/>
      <c r="K56" s="2770"/>
      <c r="L56" s="2770"/>
      <c r="M56" s="2770"/>
      <c r="N56" s="449"/>
      <c r="P56" s="1448"/>
      <c r="Q56" s="1510"/>
      <c r="R56" s="1510"/>
      <c r="S56" s="1510"/>
      <c r="T56" s="1510"/>
      <c r="U56" s="1510"/>
      <c r="V56" s="1510"/>
      <c r="W56" s="1510"/>
      <c r="X56" s="1510"/>
      <c r="Y56" s="1510"/>
    </row>
    <row r="57" spans="2:29" ht="14" x14ac:dyDescent="0.3">
      <c r="B57" s="1447"/>
      <c r="C57" s="1510"/>
      <c r="D57" s="1510"/>
      <c r="E57" s="1518"/>
      <c r="F57" s="1518"/>
      <c r="G57" s="1518"/>
      <c r="H57" s="1518"/>
      <c r="I57" s="2702" t="s">
        <v>670</v>
      </c>
      <c r="J57" s="2702"/>
      <c r="K57" s="2702"/>
      <c r="L57" s="2702"/>
      <c r="M57" s="2702"/>
      <c r="N57" s="40"/>
      <c r="P57" s="1449"/>
      <c r="Q57" s="1510"/>
      <c r="R57" s="1510"/>
      <c r="S57" s="1510"/>
      <c r="T57" s="1510"/>
      <c r="U57" s="1510"/>
      <c r="V57" s="1510"/>
      <c r="W57" s="1510"/>
      <c r="X57" s="1510"/>
      <c r="Y57" s="1510"/>
    </row>
    <row r="58" spans="2:29" ht="14" x14ac:dyDescent="0.3">
      <c r="B58" s="1447"/>
      <c r="C58" s="1510"/>
      <c r="D58" s="1510"/>
      <c r="E58" s="1518"/>
      <c r="F58" s="1518"/>
      <c r="G58" s="1518"/>
      <c r="H58" s="1518"/>
      <c r="I58" s="2703" t="s">
        <v>23</v>
      </c>
      <c r="J58" s="2703"/>
      <c r="K58" s="2703"/>
      <c r="L58" s="2703"/>
      <c r="M58" s="2703"/>
      <c r="N58" s="44"/>
      <c r="O58" s="22"/>
      <c r="P58" s="1450"/>
    </row>
    <row r="59" spans="2:29" ht="14" x14ac:dyDescent="0.3">
      <c r="B59" s="1447"/>
      <c r="C59" s="1510"/>
      <c r="D59" s="4"/>
      <c r="E59" s="4"/>
      <c r="F59" s="4"/>
      <c r="G59" s="4"/>
      <c r="H59" s="46"/>
      <c r="I59" s="2790" t="s">
        <v>271</v>
      </c>
      <c r="J59" s="2790"/>
      <c r="K59" s="2790"/>
      <c r="L59" s="2790"/>
      <c r="M59" s="2790"/>
      <c r="N59" s="14"/>
      <c r="Q59" s="456"/>
    </row>
    <row r="60" spans="2:29" ht="14" x14ac:dyDescent="0.3">
      <c r="B60" s="1447"/>
      <c r="C60" s="1510"/>
      <c r="D60" s="4"/>
      <c r="E60" s="4"/>
      <c r="F60" s="4"/>
      <c r="G60" s="69"/>
      <c r="H60" s="69"/>
      <c r="I60" s="1506"/>
      <c r="J60" s="2753"/>
      <c r="K60" s="2753"/>
      <c r="L60" s="2753"/>
      <c r="M60" s="2753"/>
      <c r="N60" s="14"/>
    </row>
    <row r="61" spans="2:29" ht="14" x14ac:dyDescent="0.3">
      <c r="B61" s="1447"/>
      <c r="C61" s="1510"/>
      <c r="D61" s="4"/>
      <c r="E61" s="4"/>
      <c r="F61" s="4"/>
      <c r="G61" s="69"/>
      <c r="H61" s="69"/>
      <c r="I61" s="1506"/>
      <c r="J61" s="1506"/>
      <c r="K61" s="1506"/>
      <c r="L61" s="1506"/>
      <c r="M61" s="1506"/>
      <c r="N61" s="14"/>
      <c r="Q61" s="456"/>
    </row>
    <row r="62" spans="2:29" ht="14" x14ac:dyDescent="0.3">
      <c r="B62" s="1447"/>
      <c r="C62" s="1510"/>
      <c r="D62" s="1518"/>
      <c r="E62" s="1518"/>
      <c r="F62" s="1518"/>
      <c r="G62" s="1518"/>
      <c r="H62" s="1518"/>
      <c r="I62" s="1506"/>
      <c r="J62" s="2753"/>
      <c r="K62" s="2753"/>
      <c r="L62" s="2753"/>
      <c r="M62" s="2753"/>
      <c r="N62" s="40"/>
      <c r="Q62" s="1451"/>
    </row>
    <row r="63" spans="2:29" x14ac:dyDescent="0.25">
      <c r="B63" s="1447"/>
      <c r="C63" s="1510"/>
      <c r="D63" s="2751"/>
      <c r="E63" s="2752"/>
      <c r="F63" s="2752"/>
      <c r="G63" s="2752"/>
      <c r="H63" s="20"/>
      <c r="I63" s="2704" t="s">
        <v>427</v>
      </c>
      <c r="J63" s="2704"/>
      <c r="K63" s="2704"/>
      <c r="L63" s="2704"/>
      <c r="M63" s="2704"/>
      <c r="N63" s="1453"/>
      <c r="Q63" s="456"/>
    </row>
    <row r="64" spans="2:29" ht="14" x14ac:dyDescent="0.3">
      <c r="B64" s="1447"/>
      <c r="C64" s="1510"/>
      <c r="D64" s="15"/>
      <c r="E64" s="15"/>
      <c r="F64" s="15"/>
      <c r="G64" s="15"/>
      <c r="H64" s="15"/>
      <c r="I64" s="2703" t="s">
        <v>651</v>
      </c>
      <c r="J64" s="2703"/>
      <c r="K64" s="2703"/>
      <c r="L64" s="2703"/>
      <c r="M64" s="2703"/>
      <c r="N64" s="41"/>
      <c r="P64" s="456"/>
      <c r="Q64" s="455"/>
    </row>
    <row r="65" spans="2:16" ht="14" x14ac:dyDescent="0.3">
      <c r="B65" s="1447"/>
      <c r="C65" s="1510"/>
      <c r="D65" s="1518"/>
      <c r="E65" s="1518"/>
      <c r="F65" s="1518"/>
      <c r="G65" s="4"/>
      <c r="H65" s="4"/>
      <c r="I65" s="4"/>
      <c r="J65" s="4"/>
      <c r="K65" s="4"/>
      <c r="L65" s="4"/>
      <c r="M65" s="4"/>
      <c r="N65" s="14"/>
    </row>
    <row r="66" spans="2:16" ht="13" thickBot="1" x14ac:dyDescent="0.3">
      <c r="B66" s="1454"/>
      <c r="C66" s="1455"/>
      <c r="D66" s="1455"/>
      <c r="E66" s="1455"/>
      <c r="F66" s="1455"/>
      <c r="G66" s="1456"/>
      <c r="H66" s="1456"/>
      <c r="I66" s="1456"/>
      <c r="J66" s="1456"/>
      <c r="K66" s="1456"/>
      <c r="L66" s="1456"/>
      <c r="M66" s="1456"/>
      <c r="N66" s="1457"/>
      <c r="P66" s="454"/>
    </row>
    <row r="67" spans="2:16" ht="13" thickTop="1" x14ac:dyDescent="0.25">
      <c r="B67" s="1510"/>
      <c r="C67" s="1510"/>
      <c r="D67" s="1510"/>
      <c r="E67" s="1510"/>
      <c r="F67" s="1510"/>
      <c r="G67" s="1510"/>
      <c r="H67" s="1510"/>
      <c r="I67" s="1510"/>
      <c r="J67" s="1510"/>
      <c r="K67" s="1510"/>
      <c r="L67" s="1510"/>
      <c r="M67" s="1510"/>
      <c r="N67" s="1510"/>
    </row>
    <row r="68" spans="2:16" x14ac:dyDescent="0.25">
      <c r="B68" s="1510"/>
      <c r="C68" s="1510"/>
      <c r="D68" s="1510"/>
      <c r="E68" s="1510"/>
      <c r="F68" s="1510"/>
      <c r="G68" s="1510"/>
      <c r="H68" s="1510"/>
      <c r="I68" s="1510"/>
      <c r="J68" s="1510"/>
      <c r="K68" s="1510"/>
      <c r="L68" s="1510"/>
      <c r="M68" s="1510"/>
      <c r="N68" s="1510"/>
    </row>
    <row r="69" spans="2:16" x14ac:dyDescent="0.25">
      <c r="B69" s="1510"/>
      <c r="C69" s="1510"/>
      <c r="D69" s="1510"/>
      <c r="E69" s="1510"/>
      <c r="F69" s="1510"/>
      <c r="G69" s="1510"/>
      <c r="H69" s="1510"/>
      <c r="I69" s="1510"/>
      <c r="J69" s="1510"/>
      <c r="K69" s="1510"/>
      <c r="L69" s="1510"/>
      <c r="M69" s="1510"/>
      <c r="N69" s="1510"/>
    </row>
    <row r="70" spans="2:16" x14ac:dyDescent="0.25">
      <c r="B70" s="1510"/>
      <c r="C70" s="1510"/>
      <c r="D70" s="1510"/>
      <c r="E70" s="1510"/>
      <c r="F70" s="1510"/>
      <c r="G70" s="1510"/>
      <c r="H70" s="1510"/>
      <c r="I70" s="1510"/>
      <c r="J70" s="1510"/>
      <c r="K70" s="1510"/>
      <c r="L70" s="1510"/>
      <c r="M70" s="1510"/>
      <c r="N70" s="1510"/>
    </row>
    <row r="71" spans="2:16" x14ac:dyDescent="0.25">
      <c r="B71" s="1510"/>
      <c r="C71" s="1510"/>
      <c r="D71" s="1510"/>
      <c r="E71" s="1510"/>
      <c r="F71" s="1510"/>
      <c r="G71" s="1510"/>
      <c r="H71" s="1510"/>
      <c r="I71" s="462"/>
      <c r="J71" s="1510"/>
      <c r="K71" s="1510"/>
      <c r="L71" s="1510"/>
      <c r="M71" s="1510"/>
      <c r="N71" s="1510"/>
    </row>
    <row r="72" spans="2:16" x14ac:dyDescent="0.25">
      <c r="B72" s="1510"/>
      <c r="C72" s="1510"/>
      <c r="D72" s="1510"/>
      <c r="E72" s="1510"/>
      <c r="F72" s="1510"/>
      <c r="G72" s="1510"/>
      <c r="H72" s="1510"/>
      <c r="I72" s="1510"/>
      <c r="J72" s="1510"/>
      <c r="K72" s="1510"/>
      <c r="L72" s="1510"/>
      <c r="M72" s="1510"/>
      <c r="N72" s="1510"/>
    </row>
    <row r="73" spans="2:16" x14ac:dyDescent="0.25">
      <c r="B73" s="1510"/>
      <c r="C73" s="1510"/>
      <c r="D73" s="1510"/>
      <c r="E73" s="1510"/>
      <c r="F73" s="1510"/>
      <c r="G73" s="1510"/>
      <c r="H73" s="1510"/>
      <c r="I73" s="1510"/>
      <c r="J73" s="1510"/>
      <c r="K73" s="1510"/>
      <c r="L73" s="1510"/>
      <c r="M73" s="1510"/>
      <c r="N73" s="1510"/>
    </row>
    <row r="74" spans="2:16" x14ac:dyDescent="0.25">
      <c r="B74" s="1510"/>
      <c r="C74" s="1510"/>
      <c r="D74" s="1510"/>
      <c r="E74" s="1510"/>
      <c r="F74" s="1510"/>
      <c r="G74" s="1510"/>
      <c r="H74" s="1510"/>
      <c r="I74" s="1510"/>
      <c r="J74" s="1510"/>
      <c r="K74" s="1510"/>
      <c r="L74" s="1510"/>
      <c r="M74" s="1510"/>
      <c r="N74" s="1510"/>
    </row>
    <row r="75" spans="2:16" x14ac:dyDescent="0.25">
      <c r="B75" s="1510"/>
      <c r="C75" s="1510"/>
      <c r="D75" s="1510"/>
      <c r="E75" s="1510"/>
      <c r="F75" s="1510"/>
      <c r="G75" s="1510"/>
      <c r="H75" s="1510"/>
      <c r="I75" s="1510"/>
      <c r="J75" s="1510"/>
      <c r="K75" s="1510"/>
      <c r="L75" s="1510"/>
      <c r="M75" s="1510"/>
      <c r="N75" s="1510"/>
    </row>
    <row r="76" spans="2:16" x14ac:dyDescent="0.25">
      <c r="B76" s="1510"/>
      <c r="C76" s="1510"/>
      <c r="D76" s="1510"/>
      <c r="E76" s="1510"/>
      <c r="F76" s="1510"/>
      <c r="G76" s="1510"/>
      <c r="H76" s="1510"/>
      <c r="I76" s="1510"/>
      <c r="J76" s="1510"/>
      <c r="K76" s="1510"/>
      <c r="L76" s="1510"/>
      <c r="M76" s="1510"/>
      <c r="N76" s="1510"/>
    </row>
    <row r="77" spans="2:16" x14ac:dyDescent="0.25">
      <c r="B77" s="1510"/>
      <c r="C77" s="1510"/>
      <c r="D77" s="1510"/>
      <c r="E77" s="1510"/>
      <c r="F77" s="1510"/>
      <c r="G77" s="1510"/>
      <c r="H77" s="1510"/>
      <c r="I77" s="1510"/>
      <c r="J77" s="1510"/>
      <c r="K77" s="1510"/>
      <c r="L77" s="1510"/>
      <c r="M77" s="1510"/>
      <c r="N77" s="1510"/>
    </row>
    <row r="78" spans="2:16" x14ac:dyDescent="0.25">
      <c r="B78" s="1510"/>
      <c r="C78" s="1510"/>
      <c r="D78" s="1510"/>
      <c r="E78" s="1510"/>
      <c r="F78" s="1510"/>
      <c r="G78" s="1510"/>
      <c r="H78" s="1510"/>
      <c r="I78" s="1510"/>
      <c r="J78" s="1510"/>
      <c r="K78" s="1510"/>
      <c r="L78" s="1510"/>
      <c r="M78" s="1510"/>
      <c r="N78" s="1510"/>
    </row>
    <row r="79" spans="2:16" ht="14" x14ac:dyDescent="0.3">
      <c r="B79" s="1510"/>
      <c r="C79" s="1510"/>
      <c r="D79" s="11"/>
      <c r="E79" s="11"/>
      <c r="F79" s="11"/>
      <c r="G79" s="11"/>
      <c r="H79" s="11"/>
      <c r="I79" s="11"/>
      <c r="J79" s="11"/>
      <c r="K79" s="11"/>
      <c r="L79" s="11"/>
      <c r="M79" s="11"/>
      <c r="N79" s="11"/>
    </row>
    <row r="80" spans="2:16" x14ac:dyDescent="0.25">
      <c r="B80" s="1510"/>
      <c r="C80" s="1510"/>
      <c r="D80" s="1510"/>
      <c r="E80" s="1510"/>
      <c r="F80" s="1510"/>
      <c r="G80" s="1510"/>
      <c r="H80" s="1510"/>
      <c r="I80" s="1510"/>
      <c r="J80" s="1510"/>
      <c r="K80" s="1510"/>
      <c r="L80" s="1510"/>
      <c r="M80" s="1510"/>
      <c r="N80" s="1510"/>
    </row>
    <row r="81" spans="2:14" x14ac:dyDescent="0.25">
      <c r="B81" s="1510"/>
      <c r="C81" s="1510"/>
      <c r="D81" s="1510"/>
      <c r="E81" s="1510"/>
      <c r="F81" s="1510"/>
      <c r="G81" s="1510"/>
      <c r="H81" s="1510"/>
      <c r="I81" s="1510"/>
      <c r="J81" s="1510"/>
      <c r="K81" s="1510"/>
      <c r="L81" s="1510"/>
      <c r="M81" s="1510"/>
      <c r="N81" s="1510"/>
    </row>
  </sheetData>
  <mergeCells count="139">
    <mergeCell ref="S15:T15"/>
    <mergeCell ref="S16:T16"/>
    <mergeCell ref="S17:T17"/>
    <mergeCell ref="S18:T18"/>
    <mergeCell ref="S19:T19"/>
    <mergeCell ref="S25:T25"/>
    <mergeCell ref="U10:W11"/>
    <mergeCell ref="Y10:AA11"/>
    <mergeCell ref="U13:U14"/>
    <mergeCell ref="V13:V14"/>
    <mergeCell ref="W13:W14"/>
    <mergeCell ref="Y13:Y14"/>
    <mergeCell ref="Z13:Z14"/>
    <mergeCell ref="AA13:AA14"/>
    <mergeCell ref="S20:T20"/>
    <mergeCell ref="S39:T39"/>
    <mergeCell ref="S49:T49"/>
    <mergeCell ref="S37:T37"/>
    <mergeCell ref="S27:T27"/>
    <mergeCell ref="S28:T28"/>
    <mergeCell ref="D49:E49"/>
    <mergeCell ref="D15:E15"/>
    <mergeCell ref="K28:M28"/>
    <mergeCell ref="K27:M27"/>
    <mergeCell ref="D18:E18"/>
    <mergeCell ref="K18:M18"/>
    <mergeCell ref="D19:E19"/>
    <mergeCell ref="D20:E20"/>
    <mergeCell ref="D23:E23"/>
    <mergeCell ref="D22:E22"/>
    <mergeCell ref="K19:M19"/>
    <mergeCell ref="S40:T40"/>
    <mergeCell ref="S41:T41"/>
    <mergeCell ref="K35:M35"/>
    <mergeCell ref="S33:T33"/>
    <mergeCell ref="S35:T35"/>
    <mergeCell ref="S21:T21"/>
    <mergeCell ref="S22:T22"/>
    <mergeCell ref="S23:T23"/>
    <mergeCell ref="S54:T54"/>
    <mergeCell ref="K40:M40"/>
    <mergeCell ref="K52:M52"/>
    <mergeCell ref="K51:M51"/>
    <mergeCell ref="K50:M50"/>
    <mergeCell ref="K41:M41"/>
    <mergeCell ref="S50:T50"/>
    <mergeCell ref="S51:T51"/>
    <mergeCell ref="S52:T52"/>
    <mergeCell ref="S43:T43"/>
    <mergeCell ref="S46:T46"/>
    <mergeCell ref="S44:T44"/>
    <mergeCell ref="S47:T47"/>
    <mergeCell ref="I59:M59"/>
    <mergeCell ref="K54:M54"/>
    <mergeCell ref="B55:N55"/>
    <mergeCell ref="D56:G56"/>
    <mergeCell ref="B54:G54"/>
    <mergeCell ref="D43:E43"/>
    <mergeCell ref="D44:E44"/>
    <mergeCell ref="K44:M44"/>
    <mergeCell ref="D46:E46"/>
    <mergeCell ref="D47:E47"/>
    <mergeCell ref="K47:M47"/>
    <mergeCell ref="I58:M58"/>
    <mergeCell ref="K56:M56"/>
    <mergeCell ref="D52:E52"/>
    <mergeCell ref="D51:E51"/>
    <mergeCell ref="D50:E50"/>
    <mergeCell ref="D37:E37"/>
    <mergeCell ref="B4:K4"/>
    <mergeCell ref="C10:C12"/>
    <mergeCell ref="F9:F12"/>
    <mergeCell ref="B8:N8"/>
    <mergeCell ref="B9:C9"/>
    <mergeCell ref="B5:K5"/>
    <mergeCell ref="L2:N5"/>
    <mergeCell ref="C2:K2"/>
    <mergeCell ref="C3:K3"/>
    <mergeCell ref="E6:N6"/>
    <mergeCell ref="D9:E12"/>
    <mergeCell ref="B10:B12"/>
    <mergeCell ref="E7:N7"/>
    <mergeCell ref="D40:E40"/>
    <mergeCell ref="D41:E41"/>
    <mergeCell ref="I57:M57"/>
    <mergeCell ref="D53:E53"/>
    <mergeCell ref="K53:M53"/>
    <mergeCell ref="B7:D7"/>
    <mergeCell ref="B6:D6"/>
    <mergeCell ref="G9:G12"/>
    <mergeCell ref="K16:M16"/>
    <mergeCell ref="D14:E14"/>
    <mergeCell ref="K14:M14"/>
    <mergeCell ref="D13:E13"/>
    <mergeCell ref="K13:M13"/>
    <mergeCell ref="D39:E39"/>
    <mergeCell ref="K39:M39"/>
    <mergeCell ref="D33:E33"/>
    <mergeCell ref="K33:M33"/>
    <mergeCell ref="D35:E35"/>
    <mergeCell ref="K37:M37"/>
    <mergeCell ref="I64:M64"/>
    <mergeCell ref="K32:M32"/>
    <mergeCell ref="D27:E27"/>
    <mergeCell ref="I9:J9"/>
    <mergeCell ref="H9:H12"/>
    <mergeCell ref="I10:I12"/>
    <mergeCell ref="J10:J12"/>
    <mergeCell ref="K9:N9"/>
    <mergeCell ref="K10:M12"/>
    <mergeCell ref="N10:N12"/>
    <mergeCell ref="D28:E28"/>
    <mergeCell ref="D16:E16"/>
    <mergeCell ref="D17:E17"/>
    <mergeCell ref="D21:E21"/>
    <mergeCell ref="K22:M22"/>
    <mergeCell ref="K20:M20"/>
    <mergeCell ref="K21:M21"/>
    <mergeCell ref="K23:M23"/>
    <mergeCell ref="D25:E25"/>
    <mergeCell ref="K17:M17"/>
    <mergeCell ref="I63:M63"/>
    <mergeCell ref="D63:G63"/>
    <mergeCell ref="J62:M62"/>
    <mergeCell ref="J60:M60"/>
    <mergeCell ref="D26:E26"/>
    <mergeCell ref="K26:M26"/>
    <mergeCell ref="S26:T26"/>
    <mergeCell ref="D34:E34"/>
    <mergeCell ref="K34:M34"/>
    <mergeCell ref="S34:T34"/>
    <mergeCell ref="D38:E38"/>
    <mergeCell ref="K38:M38"/>
    <mergeCell ref="S38:T38"/>
    <mergeCell ref="D30:E30"/>
    <mergeCell ref="D31:E31"/>
    <mergeCell ref="K31:M31"/>
    <mergeCell ref="S30:T30"/>
    <mergeCell ref="S31:T31"/>
  </mergeCells>
  <phoneticPr fontId="0" type="noConversion"/>
  <pageMargins left="0.78740157480314998" right="1.0255000000000001" top="0.56496062999999996" bottom="0.47244094488188998" header="0.23622047244094499" footer="0.15748031496063"/>
  <pageSetup paperSize="5" scale="70" orientation="landscape" horizontalDpi="4294967294" verticalDpi="4294967294" r:id="rId1"/>
  <headerFooter alignWithMargins="0"/>
  <rowBreaks count="1" manualBreakCount="1">
    <brk id="30" min="1" max="1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79"/>
  <sheetViews>
    <sheetView view="pageBreakPreview" topLeftCell="A7" zoomScale="68" zoomScaleNormal="70" zoomScaleSheetLayoutView="100" workbookViewId="0">
      <selection activeCell="M16" sqref="M16:P16"/>
    </sheetView>
  </sheetViews>
  <sheetFormatPr defaultColWidth="8.7265625" defaultRowHeight="12.5" x14ac:dyDescent="0.25"/>
  <cols>
    <col min="1" max="1" width="4.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4.26953125" style="341" customWidth="1"/>
    <col min="17" max="17" width="9" style="341" customWidth="1"/>
    <col min="18" max="18" width="8" style="341" customWidth="1"/>
    <col min="19" max="19" width="15.1796875" style="341" customWidth="1"/>
    <col min="20" max="20" width="26.6328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374</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347</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'Rutin BTL'!B5:V5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243</v>
      </c>
      <c r="M9" s="2866" t="s">
        <v>72</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
        <v>671</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28" customHeight="1" x14ac:dyDescent="0.25">
      <c r="B16" s="2834" t="s">
        <v>14</v>
      </c>
      <c r="C16" s="2835"/>
      <c r="D16" s="2835"/>
      <c r="E16" s="2835"/>
      <c r="F16" s="2835"/>
      <c r="G16" s="2835"/>
      <c r="H16" s="2835"/>
      <c r="I16" s="2835"/>
      <c r="J16" s="2835"/>
      <c r="K16" s="2836"/>
      <c r="L16" s="734" t="s">
        <v>477</v>
      </c>
      <c r="M16" s="2507" t="str">
        <f>L16</f>
        <v>Persentase jasa komunikasi, sumber daya air dan listrik yang disediakan</v>
      </c>
      <c r="N16" s="2508"/>
      <c r="O16" s="2508"/>
      <c r="P16" s="2886"/>
      <c r="Q16" s="2830">
        <v>1</v>
      </c>
      <c r="R16" s="2616"/>
      <c r="S16" s="2616"/>
      <c r="T16" s="2831">
        <v>1</v>
      </c>
      <c r="U16" s="2832"/>
      <c r="V16" s="2833"/>
      <c r="W16" s="522"/>
      <c r="X16" s="523"/>
    </row>
    <row r="17" spans="2:22" ht="14" x14ac:dyDescent="0.25">
      <c r="B17" s="2834" t="s">
        <v>135</v>
      </c>
      <c r="C17" s="2835"/>
      <c r="D17" s="2835"/>
      <c r="E17" s="2835"/>
      <c r="F17" s="2835"/>
      <c r="G17" s="2835"/>
      <c r="H17" s="2835"/>
      <c r="I17" s="2835"/>
      <c r="J17" s="2835"/>
      <c r="K17" s="2836"/>
      <c r="L17" s="811" t="s">
        <v>429</v>
      </c>
      <c r="M17" s="2933" t="str">
        <f>L17</f>
        <v>Jumlah Dana Yang dibutuhkan</v>
      </c>
      <c r="N17" s="2933"/>
      <c r="O17" s="2933"/>
      <c r="P17" s="2933"/>
      <c r="Q17" s="2934">
        <f>P28</f>
        <v>75426000</v>
      </c>
      <c r="R17" s="2935"/>
      <c r="S17" s="2936"/>
      <c r="T17" s="2937">
        <f>T28</f>
        <v>89426000</v>
      </c>
      <c r="U17" s="2937"/>
      <c r="V17" s="2938"/>
    </row>
    <row r="18" spans="2:22" ht="25" x14ac:dyDescent="0.25">
      <c r="B18" s="2834" t="s">
        <v>136</v>
      </c>
      <c r="C18" s="2835"/>
      <c r="D18" s="2835"/>
      <c r="E18" s="2835"/>
      <c r="F18" s="2835"/>
      <c r="G18" s="2835"/>
      <c r="H18" s="2835"/>
      <c r="I18" s="2835"/>
      <c r="J18" s="2835"/>
      <c r="K18" s="2836"/>
      <c r="L18" s="977" t="s">
        <v>650</v>
      </c>
      <c r="M18" s="2875" t="str">
        <f>L18</f>
        <v>Jumlah waktu jasa komunikasi,sumber daya air dan listrik yang disediakan</v>
      </c>
      <c r="N18" s="2875"/>
      <c r="O18" s="2875"/>
      <c r="P18" s="2875"/>
      <c r="Q18" s="2616" t="s">
        <v>149</v>
      </c>
      <c r="R18" s="2616"/>
      <c r="S18" s="2616"/>
      <c r="T18" s="2616" t="s">
        <v>342</v>
      </c>
      <c r="U18" s="2616"/>
      <c r="V18" s="2837"/>
    </row>
    <row r="19" spans="2:22" ht="25" x14ac:dyDescent="0.25">
      <c r="B19" s="2834" t="s">
        <v>137</v>
      </c>
      <c r="C19" s="2835"/>
      <c r="D19" s="2835"/>
      <c r="E19" s="2835"/>
      <c r="F19" s="2835"/>
      <c r="G19" s="2835"/>
      <c r="H19" s="2835"/>
      <c r="I19" s="2835"/>
      <c r="J19" s="2835"/>
      <c r="K19" s="2836"/>
      <c r="L19" s="977" t="s">
        <v>478</v>
      </c>
      <c r="M19" s="2875" t="str">
        <f>L19</f>
        <v>Tingkat pelayanan administrasi perkantoran yang maksimal</v>
      </c>
      <c r="N19" s="2875"/>
      <c r="O19" s="2875"/>
      <c r="P19" s="2875"/>
      <c r="Q19" s="2830">
        <v>1</v>
      </c>
      <c r="R19" s="2616"/>
      <c r="S19" s="2616"/>
      <c r="T19" s="2830">
        <v>1</v>
      </c>
      <c r="U19" s="2616"/>
      <c r="V19" s="2837"/>
    </row>
    <row r="20" spans="2:22" ht="14.25" customHeight="1" x14ac:dyDescent="0.3">
      <c r="B20" s="2824" t="s">
        <v>334</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486">
        <v>1</v>
      </c>
      <c r="C28" s="487" t="s">
        <v>239</v>
      </c>
      <c r="D28" s="487" t="s">
        <v>84</v>
      </c>
      <c r="E28" s="488"/>
      <c r="F28" s="473"/>
      <c r="G28" s="489">
        <v>5</v>
      </c>
      <c r="H28" s="489">
        <v>2</v>
      </c>
      <c r="I28" s="489"/>
      <c r="J28" s="489"/>
      <c r="K28" s="489"/>
      <c r="L28" s="490" t="s">
        <v>54</v>
      </c>
      <c r="M28" s="491"/>
      <c r="N28" s="491"/>
      <c r="O28" s="492"/>
      <c r="P28" s="544">
        <f>P29</f>
        <v>75426000</v>
      </c>
      <c r="Q28" s="553"/>
      <c r="R28" s="553"/>
      <c r="S28" s="554"/>
      <c r="T28" s="555">
        <f>T29</f>
        <v>89426000</v>
      </c>
      <c r="U28" s="526"/>
      <c r="V28" s="425"/>
    </row>
    <row r="29" spans="2:22" x14ac:dyDescent="0.25">
      <c r="B29" s="486">
        <v>1</v>
      </c>
      <c r="C29" s="487" t="s">
        <v>239</v>
      </c>
      <c r="D29" s="487" t="s">
        <v>84</v>
      </c>
      <c r="E29" s="493" t="s">
        <v>84</v>
      </c>
      <c r="F29" s="473"/>
      <c r="G29" s="489"/>
      <c r="H29" s="489"/>
      <c r="I29" s="489"/>
      <c r="J29" s="489"/>
      <c r="K29" s="489"/>
      <c r="L29" s="494" t="s">
        <v>110</v>
      </c>
      <c r="M29" s="495"/>
      <c r="N29" s="491"/>
      <c r="O29" s="492"/>
      <c r="P29" s="545">
        <f>P30</f>
        <v>75426000</v>
      </c>
      <c r="Q29" s="495"/>
      <c r="R29" s="491"/>
      <c r="S29" s="492"/>
      <c r="T29" s="556">
        <f>T30</f>
        <v>89426000</v>
      </c>
      <c r="U29" s="527"/>
      <c r="V29" s="429"/>
    </row>
    <row r="30" spans="2:22" x14ac:dyDescent="0.25">
      <c r="B30" s="486">
        <v>1</v>
      </c>
      <c r="C30" s="487" t="s">
        <v>239</v>
      </c>
      <c r="D30" s="487" t="s">
        <v>84</v>
      </c>
      <c r="E30" s="493" t="s">
        <v>84</v>
      </c>
      <c r="F30" s="496" t="s">
        <v>87</v>
      </c>
      <c r="G30" s="489"/>
      <c r="H30" s="489"/>
      <c r="I30" s="489"/>
      <c r="J30" s="489"/>
      <c r="K30" s="487"/>
      <c r="L30" s="494" t="s">
        <v>83</v>
      </c>
      <c r="M30" s="495"/>
      <c r="N30" s="491"/>
      <c r="O30" s="492"/>
      <c r="P30" s="545">
        <f>P32</f>
        <v>75426000</v>
      </c>
      <c r="Q30" s="495"/>
      <c r="R30" s="491"/>
      <c r="S30" s="492"/>
      <c r="T30" s="556">
        <f>T32</f>
        <v>89426000</v>
      </c>
      <c r="U30" s="527"/>
      <c r="V30" s="429"/>
    </row>
    <row r="31" spans="2:22" x14ac:dyDescent="0.25">
      <c r="B31" s="486"/>
      <c r="C31" s="487"/>
      <c r="D31" s="487"/>
      <c r="E31" s="493"/>
      <c r="F31" s="496"/>
      <c r="G31" s="489"/>
      <c r="H31" s="489"/>
      <c r="I31" s="489"/>
      <c r="J31" s="489"/>
      <c r="K31" s="487"/>
      <c r="L31" s="494"/>
      <c r="M31" s="495"/>
      <c r="N31" s="491"/>
      <c r="O31" s="492"/>
      <c r="P31" s="546"/>
      <c r="Q31" s="495"/>
      <c r="R31" s="491"/>
      <c r="S31" s="492"/>
      <c r="T31" s="557"/>
      <c r="U31" s="527"/>
      <c r="V31" s="429"/>
    </row>
    <row r="32" spans="2:22" x14ac:dyDescent="0.25">
      <c r="B32" s="486">
        <v>1</v>
      </c>
      <c r="C32" s="487" t="s">
        <v>239</v>
      </c>
      <c r="D32" s="487" t="s">
        <v>84</v>
      </c>
      <c r="E32" s="493" t="s">
        <v>84</v>
      </c>
      <c r="F32" s="496" t="s">
        <v>87</v>
      </c>
      <c r="G32" s="489">
        <v>5</v>
      </c>
      <c r="H32" s="489">
        <v>2</v>
      </c>
      <c r="I32" s="489">
        <v>2</v>
      </c>
      <c r="J32" s="489"/>
      <c r="K32" s="489"/>
      <c r="L32" s="497" t="s">
        <v>64</v>
      </c>
      <c r="M32" s="498"/>
      <c r="N32" s="499"/>
      <c r="O32" s="500"/>
      <c r="P32" s="547">
        <f>P33</f>
        <v>75426000</v>
      </c>
      <c r="Q32" s="498"/>
      <c r="R32" s="499"/>
      <c r="S32" s="500"/>
      <c r="T32" s="558">
        <f>T33</f>
        <v>89426000</v>
      </c>
      <c r="U32" s="527"/>
      <c r="V32" s="429"/>
    </row>
    <row r="33" spans="2:23" ht="12.75" customHeight="1" x14ac:dyDescent="0.25">
      <c r="B33" s="486">
        <v>1</v>
      </c>
      <c r="C33" s="487" t="s">
        <v>239</v>
      </c>
      <c r="D33" s="487" t="s">
        <v>84</v>
      </c>
      <c r="E33" s="493" t="s">
        <v>84</v>
      </c>
      <c r="F33" s="496" t="s">
        <v>87</v>
      </c>
      <c r="G33" s="489">
        <v>5</v>
      </c>
      <c r="H33" s="489">
        <v>2</v>
      </c>
      <c r="I33" s="489">
        <v>2</v>
      </c>
      <c r="J33" s="487" t="s">
        <v>97</v>
      </c>
      <c r="K33" s="489"/>
      <c r="L33" s="501" t="s">
        <v>57</v>
      </c>
      <c r="M33" s="498"/>
      <c r="N33" s="499"/>
      <c r="O33" s="500"/>
      <c r="P33" s="548">
        <f>P34+P36+P38+P40</f>
        <v>75426000</v>
      </c>
      <c r="Q33" s="498"/>
      <c r="R33" s="499"/>
      <c r="S33" s="500"/>
      <c r="T33" s="559">
        <f>T34+T36+T38+T40</f>
        <v>89426000</v>
      </c>
      <c r="U33" s="527"/>
      <c r="V33" s="429"/>
    </row>
    <row r="34" spans="2:23" x14ac:dyDescent="0.25">
      <c r="B34" s="486">
        <v>1</v>
      </c>
      <c r="C34" s="487" t="s">
        <v>239</v>
      </c>
      <c r="D34" s="487" t="s">
        <v>84</v>
      </c>
      <c r="E34" s="493" t="s">
        <v>84</v>
      </c>
      <c r="F34" s="496" t="s">
        <v>87</v>
      </c>
      <c r="G34" s="489">
        <v>5</v>
      </c>
      <c r="H34" s="489">
        <v>2</v>
      </c>
      <c r="I34" s="489">
        <v>2</v>
      </c>
      <c r="J34" s="487" t="s">
        <v>97</v>
      </c>
      <c r="K34" s="487" t="s">
        <v>87</v>
      </c>
      <c r="L34" s="501" t="s">
        <v>73</v>
      </c>
      <c r="M34" s="498"/>
      <c r="N34" s="499"/>
      <c r="O34" s="500"/>
      <c r="P34" s="549">
        <f>+P35</f>
        <v>2100000</v>
      </c>
      <c r="Q34" s="498"/>
      <c r="R34" s="499"/>
      <c r="S34" s="500"/>
      <c r="T34" s="560">
        <f>+T35</f>
        <v>2100000</v>
      </c>
      <c r="U34" s="528"/>
      <c r="V34" s="529"/>
    </row>
    <row r="35" spans="2:23" x14ac:dyDescent="0.25">
      <c r="B35" s="486"/>
      <c r="C35" s="489"/>
      <c r="D35" s="489"/>
      <c r="E35" s="488"/>
      <c r="F35" s="473"/>
      <c r="G35" s="489"/>
      <c r="H35" s="489"/>
      <c r="I35" s="489"/>
      <c r="J35" s="489"/>
      <c r="K35" s="489"/>
      <c r="L35" s="502" t="s">
        <v>170</v>
      </c>
      <c r="M35" s="498">
        <v>1</v>
      </c>
      <c r="N35" s="499" t="s">
        <v>66</v>
      </c>
      <c r="O35" s="477">
        <v>2100000</v>
      </c>
      <c r="P35" s="549">
        <f>O35*M35</f>
        <v>2100000</v>
      </c>
      <c r="Q35" s="498">
        <v>1</v>
      </c>
      <c r="R35" s="499" t="s">
        <v>66</v>
      </c>
      <c r="S35" s="477">
        <v>2100000</v>
      </c>
      <c r="T35" s="560">
        <f>S35*Q35</f>
        <v>2100000</v>
      </c>
      <c r="U35" s="528"/>
      <c r="V35" s="529"/>
    </row>
    <row r="36" spans="2:23" x14ac:dyDescent="0.25">
      <c r="B36" s="486">
        <v>1</v>
      </c>
      <c r="C36" s="487" t="s">
        <v>239</v>
      </c>
      <c r="D36" s="487" t="s">
        <v>84</v>
      </c>
      <c r="E36" s="493" t="s">
        <v>84</v>
      </c>
      <c r="F36" s="496" t="s">
        <v>87</v>
      </c>
      <c r="G36" s="489">
        <v>5</v>
      </c>
      <c r="H36" s="489">
        <v>2</v>
      </c>
      <c r="I36" s="489">
        <v>2</v>
      </c>
      <c r="J36" s="487" t="s">
        <v>97</v>
      </c>
      <c r="K36" s="487" t="s">
        <v>97</v>
      </c>
      <c r="L36" s="501" t="s">
        <v>74</v>
      </c>
      <c r="M36" s="503"/>
      <c r="N36" s="499"/>
      <c r="O36" s="500"/>
      <c r="P36" s="549">
        <f>SUM(P37:P37)</f>
        <v>66000000</v>
      </c>
      <c r="Q36" s="503"/>
      <c r="R36" s="499"/>
      <c r="S36" s="500"/>
      <c r="T36" s="560">
        <f>SUM(T37:T37)</f>
        <v>80000000</v>
      </c>
      <c r="U36" s="528">
        <f>P36-T36</f>
        <v>-14000000</v>
      </c>
      <c r="V36" s="530">
        <f>U36/P36*100</f>
        <v>-21.212121212121211</v>
      </c>
    </row>
    <row r="37" spans="2:23" x14ac:dyDescent="0.25">
      <c r="B37" s="486"/>
      <c r="C37" s="489"/>
      <c r="D37" s="489"/>
      <c r="E37" s="488"/>
      <c r="F37" s="473"/>
      <c r="G37" s="489"/>
      <c r="H37" s="489"/>
      <c r="I37" s="489"/>
      <c r="J37" s="489"/>
      <c r="K37" s="489"/>
      <c r="L37" s="504" t="s">
        <v>258</v>
      </c>
      <c r="M37" s="503">
        <v>1</v>
      </c>
      <c r="N37" s="499" t="s">
        <v>66</v>
      </c>
      <c r="O37" s="505">
        <v>66000000</v>
      </c>
      <c r="P37" s="549">
        <f>O37*M37</f>
        <v>66000000</v>
      </c>
      <c r="Q37" s="503">
        <v>1</v>
      </c>
      <c r="R37" s="499" t="s">
        <v>66</v>
      </c>
      <c r="S37" s="505">
        <v>80000000</v>
      </c>
      <c r="T37" s="560">
        <f>S37*Q37</f>
        <v>80000000</v>
      </c>
      <c r="U37" s="528"/>
      <c r="V37" s="529"/>
    </row>
    <row r="38" spans="2:23" x14ac:dyDescent="0.25">
      <c r="B38" s="486">
        <v>1</v>
      </c>
      <c r="C38" s="487" t="s">
        <v>239</v>
      </c>
      <c r="D38" s="487" t="s">
        <v>84</v>
      </c>
      <c r="E38" s="493" t="s">
        <v>84</v>
      </c>
      <c r="F38" s="496" t="s">
        <v>87</v>
      </c>
      <c r="G38" s="489">
        <v>5</v>
      </c>
      <c r="H38" s="489">
        <v>2</v>
      </c>
      <c r="I38" s="489">
        <v>2</v>
      </c>
      <c r="J38" s="487" t="s">
        <v>97</v>
      </c>
      <c r="K38" s="506" t="s">
        <v>86</v>
      </c>
      <c r="L38" s="507" t="s">
        <v>206</v>
      </c>
      <c r="M38" s="503"/>
      <c r="N38" s="508"/>
      <c r="O38" s="509"/>
      <c r="P38" s="550">
        <f>SUM(P39)</f>
        <v>5526000</v>
      </c>
      <c r="Q38" s="503"/>
      <c r="R38" s="508"/>
      <c r="S38" s="509"/>
      <c r="T38" s="561">
        <f>SUM(T39)</f>
        <v>5526000</v>
      </c>
      <c r="U38" s="528">
        <f>P38-T38</f>
        <v>0</v>
      </c>
      <c r="V38" s="530">
        <f>U38/P38*100</f>
        <v>0</v>
      </c>
    </row>
    <row r="39" spans="2:23" x14ac:dyDescent="0.25">
      <c r="B39" s="510"/>
      <c r="C39" s="506"/>
      <c r="D39" s="506"/>
      <c r="E39" s="511"/>
      <c r="F39" s="512"/>
      <c r="G39" s="513"/>
      <c r="H39" s="513"/>
      <c r="I39" s="513"/>
      <c r="J39" s="506"/>
      <c r="K39" s="506"/>
      <c r="L39" s="514" t="s">
        <v>264</v>
      </c>
      <c r="M39" s="515">
        <v>1</v>
      </c>
      <c r="N39" s="516" t="s">
        <v>66</v>
      </c>
      <c r="O39" s="517">
        <v>5526000</v>
      </c>
      <c r="P39" s="551">
        <f>O39*M39</f>
        <v>5526000</v>
      </c>
      <c r="Q39" s="515">
        <v>1</v>
      </c>
      <c r="R39" s="516" t="s">
        <v>66</v>
      </c>
      <c r="S39" s="517">
        <v>5526000</v>
      </c>
      <c r="T39" s="562">
        <f>S39*Q39</f>
        <v>5526000</v>
      </c>
      <c r="U39" s="528"/>
      <c r="V39" s="529"/>
    </row>
    <row r="40" spans="2:23" x14ac:dyDescent="0.25">
      <c r="B40" s="486">
        <v>1</v>
      </c>
      <c r="C40" s="487" t="s">
        <v>239</v>
      </c>
      <c r="D40" s="487" t="s">
        <v>84</v>
      </c>
      <c r="E40" s="493" t="s">
        <v>84</v>
      </c>
      <c r="F40" s="496" t="s">
        <v>87</v>
      </c>
      <c r="G40" s="489">
        <v>5</v>
      </c>
      <c r="H40" s="489">
        <v>2</v>
      </c>
      <c r="I40" s="489">
        <v>2</v>
      </c>
      <c r="J40" s="487" t="s">
        <v>97</v>
      </c>
      <c r="K40" s="487">
        <v>14</v>
      </c>
      <c r="L40" s="518" t="s">
        <v>161</v>
      </c>
      <c r="M40" s="498"/>
      <c r="N40" s="499"/>
      <c r="O40" s="500"/>
      <c r="P40" s="552">
        <f>SUM(P41:P41)</f>
        <v>1800000</v>
      </c>
      <c r="Q40" s="498"/>
      <c r="R40" s="499"/>
      <c r="S40" s="500"/>
      <c r="T40" s="563">
        <f>SUM(T41:T41)</f>
        <v>1800000</v>
      </c>
      <c r="U40" s="528"/>
      <c r="V40" s="529"/>
    </row>
    <row r="41" spans="2:23" x14ac:dyDescent="0.25">
      <c r="B41" s="486"/>
      <c r="C41" s="489"/>
      <c r="D41" s="489"/>
      <c r="E41" s="488"/>
      <c r="F41" s="473"/>
      <c r="G41" s="489"/>
      <c r="H41" s="489"/>
      <c r="I41" s="489"/>
      <c r="J41" s="489"/>
      <c r="K41" s="489"/>
      <c r="L41" s="502" t="s">
        <v>207</v>
      </c>
      <c r="M41" s="498">
        <v>1</v>
      </c>
      <c r="N41" s="499" t="s">
        <v>66</v>
      </c>
      <c r="O41" s="477">
        <v>1800000</v>
      </c>
      <c r="P41" s="548">
        <f>O41*M41</f>
        <v>1800000</v>
      </c>
      <c r="Q41" s="498">
        <v>1</v>
      </c>
      <c r="R41" s="499" t="s">
        <v>66</v>
      </c>
      <c r="S41" s="477">
        <v>1800000</v>
      </c>
      <c r="T41" s="559">
        <f>S41*Q41</f>
        <v>1800000</v>
      </c>
      <c r="U41" s="528"/>
      <c r="V41" s="529"/>
    </row>
    <row r="42" spans="2:23" x14ac:dyDescent="0.25">
      <c r="B42" s="531"/>
      <c r="C42" s="532"/>
      <c r="D42" s="532"/>
      <c r="E42" s="533"/>
      <c r="F42" s="533"/>
      <c r="G42" s="534"/>
      <c r="H42" s="534"/>
      <c r="I42" s="535"/>
      <c r="J42" s="532"/>
      <c r="K42" s="532"/>
      <c r="L42" s="536"/>
      <c r="M42" s="537"/>
      <c r="N42" s="537"/>
      <c r="O42" s="538"/>
      <c r="P42" s="539"/>
      <c r="Q42" s="537"/>
      <c r="R42" s="537"/>
      <c r="S42" s="538"/>
      <c r="T42" s="540"/>
      <c r="U42" s="541"/>
      <c r="V42" s="542"/>
    </row>
    <row r="43" spans="2:23" ht="14.5" thickBot="1" x14ac:dyDescent="0.3">
      <c r="B43" s="2811" t="s">
        <v>15</v>
      </c>
      <c r="C43" s="2812"/>
      <c r="D43" s="2812"/>
      <c r="E43" s="2812"/>
      <c r="F43" s="2812"/>
      <c r="G43" s="2812"/>
      <c r="H43" s="2812"/>
      <c r="I43" s="2812"/>
      <c r="J43" s="2812"/>
      <c r="K43" s="2812"/>
      <c r="L43" s="2812"/>
      <c r="M43" s="2812"/>
      <c r="N43" s="2812"/>
      <c r="O43" s="2813"/>
      <c r="P43" s="1478">
        <f>P28</f>
        <v>75426000</v>
      </c>
      <c r="Q43" s="2814"/>
      <c r="R43" s="2815"/>
      <c r="S43" s="2816"/>
      <c r="T43" s="1479">
        <f>T28</f>
        <v>89426000</v>
      </c>
      <c r="U43" s="1480">
        <f>SUM(U28:U41)</f>
        <v>-14000000</v>
      </c>
      <c r="V43" s="1481">
        <f>U43/P43*100</f>
        <v>-18.56123883011163</v>
      </c>
    </row>
    <row r="44" spans="2:23" ht="13" thickTop="1" x14ac:dyDescent="0.25">
      <c r="B44" s="1486"/>
      <c r="C44" s="1482"/>
      <c r="D44" s="1482"/>
      <c r="E44" s="1482"/>
      <c r="F44" s="1482"/>
      <c r="G44" s="1482"/>
      <c r="H44" s="1482"/>
      <c r="I44" s="1482"/>
      <c r="J44" s="1482"/>
      <c r="K44" s="1482"/>
      <c r="L44" s="1483"/>
      <c r="M44" s="1484"/>
      <c r="N44" s="1484"/>
      <c r="O44" s="1484"/>
      <c r="P44" s="1484"/>
      <c r="Q44" s="1484"/>
      <c r="R44" s="1484"/>
      <c r="S44" s="1485"/>
      <c r="T44" s="1485"/>
      <c r="U44" s="1485"/>
      <c r="V44" s="1487"/>
    </row>
    <row r="45" spans="2:23" ht="12.75" customHeight="1" x14ac:dyDescent="0.25">
      <c r="B45" s="440"/>
      <c r="C45" s="20"/>
      <c r="D45" s="20"/>
      <c r="E45" s="20"/>
      <c r="F45" s="20"/>
      <c r="G45" s="20"/>
      <c r="H45" s="20"/>
      <c r="I45" s="20"/>
      <c r="J45" s="20"/>
      <c r="K45" s="20"/>
      <c r="L45" s="21"/>
      <c r="Q45" s="342"/>
      <c r="S45" s="2702" t="str">
        <f>'Rutin BTL'!S53:U53</f>
        <v>Banda Aceh,               2020</v>
      </c>
      <c r="T45" s="2702"/>
      <c r="U45" s="2702"/>
      <c r="V45" s="19"/>
      <c r="W45" s="100"/>
    </row>
    <row r="46" spans="2:23" x14ac:dyDescent="0.25">
      <c r="B46" s="440"/>
      <c r="C46" s="20"/>
      <c r="D46" s="20"/>
      <c r="E46" s="20"/>
      <c r="F46" s="20"/>
      <c r="G46" s="20"/>
      <c r="H46" s="20"/>
      <c r="I46" s="20"/>
      <c r="J46" s="20"/>
      <c r="K46" s="20"/>
      <c r="L46" s="333" t="str">
        <f>'Rutin BTL'!L54</f>
        <v>Mengesahkan,</v>
      </c>
      <c r="Q46" s="342"/>
      <c r="S46" s="2703" t="str">
        <f>'Rutin BTL'!S54:U54</f>
        <v>Pengguna Anggaran</v>
      </c>
      <c r="T46" s="2703"/>
      <c r="U46" s="2703"/>
      <c r="V46" s="44"/>
      <c r="W46" s="22"/>
    </row>
    <row r="47" spans="2:23" ht="12.75" customHeight="1" x14ac:dyDescent="0.25">
      <c r="B47" s="440"/>
      <c r="C47" s="20"/>
      <c r="D47" s="20"/>
      <c r="E47" s="20"/>
      <c r="F47" s="20"/>
      <c r="G47" s="20"/>
      <c r="H47" s="20"/>
      <c r="I47" s="20"/>
      <c r="J47" s="20"/>
      <c r="K47" s="20"/>
      <c r="L47" s="333" t="str">
        <f>'Rutin BTL'!L55</f>
        <v>Pejabat Pengelola Keuangan Daerah</v>
      </c>
      <c r="Q47" s="342"/>
      <c r="S47" s="2703" t="str">
        <f>'Rutin BTL'!S55:U55</f>
        <v xml:space="preserve"> Satuan Kerja Perangkat Daerah </v>
      </c>
      <c r="T47" s="2703"/>
      <c r="U47" s="2703"/>
      <c r="V47" s="44"/>
      <c r="W47" s="22"/>
    </row>
    <row r="48" spans="2:23" x14ac:dyDescent="0.25">
      <c r="B48" s="440"/>
      <c r="C48" s="20"/>
      <c r="D48" s="20"/>
      <c r="E48" s="20"/>
      <c r="F48" s="20"/>
      <c r="G48" s="20"/>
      <c r="H48" s="20"/>
      <c r="I48" s="20"/>
      <c r="J48" s="20"/>
      <c r="K48" s="20"/>
      <c r="L48" s="42"/>
      <c r="Q48" s="342"/>
      <c r="S48" s="113"/>
      <c r="T48" s="101"/>
      <c r="U48" s="101"/>
      <c r="V48" s="111"/>
      <c r="W48" s="102"/>
    </row>
    <row r="49" spans="2:23" x14ac:dyDescent="0.25">
      <c r="B49" s="440"/>
      <c r="C49" s="20"/>
      <c r="D49" s="20"/>
      <c r="E49" s="20"/>
      <c r="F49" s="20"/>
      <c r="G49" s="20"/>
      <c r="H49" s="20"/>
      <c r="I49" s="20"/>
      <c r="J49" s="20"/>
      <c r="K49" s="20"/>
      <c r="L49" s="42"/>
      <c r="Q49" s="342"/>
      <c r="S49" s="113"/>
      <c r="T49" s="113"/>
      <c r="U49" s="113"/>
      <c r="V49" s="114"/>
      <c r="W49" s="103"/>
    </row>
    <row r="50" spans="2:23" x14ac:dyDescent="0.25">
      <c r="B50" s="440"/>
      <c r="C50" s="20"/>
      <c r="D50" s="20"/>
      <c r="E50" s="20"/>
      <c r="F50" s="20"/>
      <c r="G50" s="20"/>
      <c r="H50" s="20"/>
      <c r="I50" s="20"/>
      <c r="J50" s="20"/>
      <c r="K50" s="20"/>
      <c r="L50" s="99"/>
      <c r="Q50" s="342"/>
      <c r="S50" s="113"/>
      <c r="T50" s="101"/>
      <c r="U50" s="101"/>
      <c r="V50" s="111"/>
      <c r="W50" s="102"/>
    </row>
    <row r="51" spans="2:23" ht="14" x14ac:dyDescent="0.3">
      <c r="B51" s="440"/>
      <c r="C51" s="20"/>
      <c r="D51" s="20"/>
      <c r="E51" s="20"/>
      <c r="F51" s="20"/>
      <c r="G51" s="20"/>
      <c r="H51" s="20"/>
      <c r="I51" s="20"/>
      <c r="J51" s="20"/>
      <c r="K51" s="20"/>
      <c r="L51" s="112" t="str">
        <f>'Rutin BTL'!L59</f>
        <v>M. Iqbal Rokan, S.STP.</v>
      </c>
      <c r="Q51" s="342"/>
      <c r="S51" s="2704" t="str">
        <f>'Rutin BTL'!S59:U59</f>
        <v>Bustami, SH</v>
      </c>
      <c r="T51" s="2704"/>
      <c r="U51" s="2704"/>
      <c r="V51" s="45"/>
      <c r="W51" s="104"/>
    </row>
    <row r="52" spans="2:23" x14ac:dyDescent="0.25">
      <c r="B52" s="440"/>
      <c r="C52" s="20"/>
      <c r="D52" s="20"/>
      <c r="E52" s="20"/>
      <c r="F52" s="20"/>
      <c r="G52" s="20"/>
      <c r="H52" s="20"/>
      <c r="I52" s="20"/>
      <c r="J52" s="20"/>
      <c r="K52" s="20"/>
      <c r="L52" s="333" t="str">
        <f>'Rutin BTL'!L60</f>
        <v>Nip. 19780505 199810 1 001</v>
      </c>
      <c r="Q52" s="342"/>
      <c r="S52" s="2703" t="str">
        <f>'Rutin BTL'!S60:U60</f>
        <v>Pembina Utama Muda / Nip. 196308241987031004</v>
      </c>
      <c r="T52" s="2703"/>
      <c r="U52" s="2703"/>
      <c r="V52" s="44"/>
      <c r="W52" s="22"/>
    </row>
    <row r="53" spans="2:23" x14ac:dyDescent="0.25">
      <c r="B53" s="440"/>
      <c r="C53" s="20"/>
      <c r="D53" s="20"/>
      <c r="E53" s="20"/>
      <c r="F53" s="20"/>
      <c r="G53" s="20"/>
      <c r="H53" s="20"/>
      <c r="I53" s="20"/>
      <c r="J53" s="20"/>
      <c r="K53" s="20"/>
      <c r="L53" s="333"/>
      <c r="Q53" s="342"/>
      <c r="S53" s="333"/>
      <c r="T53" s="333"/>
      <c r="U53" s="333"/>
      <c r="V53" s="441"/>
      <c r="W53" s="21"/>
    </row>
    <row r="54" spans="2:23" ht="14.25" customHeight="1" x14ac:dyDescent="0.25">
      <c r="B54" s="2705" t="s">
        <v>286</v>
      </c>
      <c r="C54" s="2706"/>
      <c r="D54" s="2706"/>
      <c r="E54" s="2706"/>
      <c r="F54" s="2706"/>
      <c r="G54" s="2706"/>
      <c r="H54" s="2706"/>
      <c r="I54" s="2706"/>
      <c r="J54" s="2706"/>
      <c r="K54" s="2706"/>
      <c r="L54" s="2706"/>
      <c r="M54" s="2707" t="s">
        <v>145</v>
      </c>
      <c r="N54" s="2708"/>
      <c r="O54" s="2708"/>
      <c r="P54" s="2708"/>
      <c r="Q54" s="2708"/>
      <c r="R54" s="2708"/>
      <c r="S54" s="2708"/>
      <c r="T54" s="2708"/>
      <c r="U54" s="2708"/>
      <c r="V54" s="2709"/>
    </row>
    <row r="55" spans="2:23" ht="14.25" customHeight="1" x14ac:dyDescent="0.3">
      <c r="B55" s="2710"/>
      <c r="C55" s="2711"/>
      <c r="D55" s="2711"/>
      <c r="E55" s="2711"/>
      <c r="F55" s="2711"/>
      <c r="G55" s="2711"/>
      <c r="H55" s="2711"/>
      <c r="I55" s="2711"/>
      <c r="J55" s="2711"/>
      <c r="K55" s="2711"/>
      <c r="L55" s="2712"/>
      <c r="M55" s="331" t="s">
        <v>142</v>
      </c>
      <c r="N55" s="2713"/>
      <c r="O55" s="2713"/>
      <c r="P55" s="2713"/>
      <c r="Q55" s="2714" t="s">
        <v>143</v>
      </c>
      <c r="R55" s="2714"/>
      <c r="S55" s="2714"/>
      <c r="T55" s="332" t="s">
        <v>144</v>
      </c>
      <c r="U55" s="2714" t="s">
        <v>146</v>
      </c>
      <c r="V55" s="2715"/>
    </row>
    <row r="56" spans="2:23" ht="14.25" customHeight="1" x14ac:dyDescent="0.3">
      <c r="B56" s="2716" t="s">
        <v>293</v>
      </c>
      <c r="C56" s="2717"/>
      <c r="D56" s="2717"/>
      <c r="E56" s="2717"/>
      <c r="F56" s="2717"/>
      <c r="G56" s="2717"/>
      <c r="H56" s="2717"/>
      <c r="I56" s="2717"/>
      <c r="J56" s="2717"/>
      <c r="K56" s="2717"/>
      <c r="L56" s="107">
        <v>0</v>
      </c>
      <c r="M56" s="118">
        <v>1</v>
      </c>
      <c r="N56" s="2718" t="str">
        <f>'Rutin BTL'!N64:S64</f>
        <v>Weri, SE. MA</v>
      </c>
      <c r="O56" s="2719"/>
      <c r="P56" s="2719"/>
      <c r="Q56" s="2720" t="str">
        <f>'Rutin BTL'!Q64:S64</f>
        <v>19640525 198903 1 026</v>
      </c>
      <c r="R56" s="2721"/>
      <c r="S56" s="2722"/>
      <c r="T56" s="109" t="s">
        <v>302</v>
      </c>
      <c r="U56" s="442" t="s">
        <v>287</v>
      </c>
      <c r="V56" s="443"/>
    </row>
    <row r="57" spans="2:23" ht="14" x14ac:dyDescent="0.3">
      <c r="B57" s="2716" t="s">
        <v>294</v>
      </c>
      <c r="C57" s="2717"/>
      <c r="D57" s="2717"/>
      <c r="E57" s="2717"/>
      <c r="F57" s="2717"/>
      <c r="G57" s="2717"/>
      <c r="H57" s="2717"/>
      <c r="I57" s="2717"/>
      <c r="J57" s="2717"/>
      <c r="K57" s="2717"/>
      <c r="L57" s="107">
        <v>0</v>
      </c>
      <c r="M57" s="118">
        <v>2</v>
      </c>
      <c r="N57" s="2723" t="str">
        <f>'Rutin BTL'!N65:P65</f>
        <v>Azmi, SH</v>
      </c>
      <c r="O57" s="2724"/>
      <c r="P57" s="2724"/>
      <c r="Q57" s="2720" t="str">
        <f>'Rutin BTL'!Q65:S65</f>
        <v>19680824 199903 1 004</v>
      </c>
      <c r="R57" s="2721"/>
      <c r="S57" s="2722"/>
      <c r="T57" s="109" t="s">
        <v>303</v>
      </c>
      <c r="U57" s="444"/>
      <c r="V57" s="445" t="s">
        <v>128</v>
      </c>
    </row>
    <row r="58" spans="2:23" ht="14" x14ac:dyDescent="0.3">
      <c r="B58" s="2716" t="s">
        <v>295</v>
      </c>
      <c r="C58" s="2717"/>
      <c r="D58" s="2717"/>
      <c r="E58" s="2717"/>
      <c r="F58" s="2717"/>
      <c r="G58" s="2717"/>
      <c r="H58" s="2717"/>
      <c r="I58" s="2717"/>
      <c r="J58" s="2717"/>
      <c r="K58" s="2717"/>
      <c r="L58" s="107">
        <v>0</v>
      </c>
      <c r="M58" s="117">
        <v>3</v>
      </c>
      <c r="N58" s="2723" t="str">
        <f>'Rutin BTL'!N66:P66</f>
        <v>Muhammad Syaifuddin Ambia, ST, MT</v>
      </c>
      <c r="O58" s="2724"/>
      <c r="P58" s="2724"/>
      <c r="Q58" s="2720" t="str">
        <f>'Rutin BTL'!Q66:S66</f>
        <v>19741010 200604 1 003</v>
      </c>
      <c r="R58" s="2721"/>
      <c r="S58" s="2722"/>
      <c r="T58" s="109" t="s">
        <v>304</v>
      </c>
      <c r="U58" s="446" t="s">
        <v>292</v>
      </c>
      <c r="V58" s="443"/>
    </row>
    <row r="59" spans="2:23" ht="15" customHeight="1" x14ac:dyDescent="0.3">
      <c r="B59" s="2716" t="s">
        <v>296</v>
      </c>
      <c r="C59" s="2717"/>
      <c r="D59" s="2717"/>
      <c r="E59" s="2717"/>
      <c r="F59" s="2717"/>
      <c r="G59" s="2717"/>
      <c r="H59" s="2717"/>
      <c r="I59" s="2717"/>
      <c r="J59" s="2717"/>
      <c r="K59" s="2717"/>
      <c r="L59" s="107">
        <v>0</v>
      </c>
      <c r="M59" s="118">
        <v>4</v>
      </c>
      <c r="N59" s="2723" t="str">
        <f>'Rutin BTL'!N67:P67</f>
        <v>Basri, SE, M.Si</v>
      </c>
      <c r="O59" s="2724"/>
      <c r="P59" s="2724"/>
      <c r="Q59" s="2720" t="str">
        <f>'Rutin BTL'!Q67:S67</f>
        <v>19691213 199403 1 002</v>
      </c>
      <c r="R59" s="2721"/>
      <c r="S59" s="2722"/>
      <c r="T59" s="109" t="s">
        <v>305</v>
      </c>
      <c r="U59" s="444"/>
      <c r="V59" s="445" t="s">
        <v>288</v>
      </c>
    </row>
    <row r="60" spans="2:23" ht="14" x14ac:dyDescent="0.3">
      <c r="B60" s="2716" t="s">
        <v>297</v>
      </c>
      <c r="C60" s="2717"/>
      <c r="D60" s="2717"/>
      <c r="E60" s="2717"/>
      <c r="F60" s="2717"/>
      <c r="G60" s="2717"/>
      <c r="H60" s="2717"/>
      <c r="I60" s="2717"/>
      <c r="J60" s="2717"/>
      <c r="K60" s="2717"/>
      <c r="L60" s="108">
        <f>SUM(L56:L59)</f>
        <v>0</v>
      </c>
      <c r="M60" s="105">
        <v>5</v>
      </c>
      <c r="N60" s="2723" t="str">
        <f>'Rutin BTL'!N68:P68</f>
        <v>Dewi Shinta Reza, SE. Ak</v>
      </c>
      <c r="O60" s="2724"/>
      <c r="P60" s="2724"/>
      <c r="Q60" s="2720" t="str">
        <f>'Rutin BTL'!Q68:S68</f>
        <v>19750630 200212 2 003</v>
      </c>
      <c r="R60" s="2721"/>
      <c r="S60" s="2722"/>
      <c r="T60" s="109" t="s">
        <v>306</v>
      </c>
      <c r="U60" s="446" t="s">
        <v>289</v>
      </c>
      <c r="V60" s="443"/>
    </row>
    <row r="61" spans="2:23" ht="13.5" customHeight="1" x14ac:dyDescent="0.3">
      <c r="B61" s="2710"/>
      <c r="C61" s="2711"/>
      <c r="D61" s="2711"/>
      <c r="E61" s="2711"/>
      <c r="F61" s="2711"/>
      <c r="G61" s="2711"/>
      <c r="H61" s="2711"/>
      <c r="I61" s="2711"/>
      <c r="J61" s="2711"/>
      <c r="K61" s="2711"/>
      <c r="L61" s="2712"/>
      <c r="M61" s="105">
        <v>6</v>
      </c>
      <c r="N61" s="2718" t="str">
        <f>'Rutin BTL'!N69:P69</f>
        <v>Harisman, S.STP, M.Ec.Dev</v>
      </c>
      <c r="O61" s="2719"/>
      <c r="P61" s="2719"/>
      <c r="Q61" s="2720" t="str">
        <f>'Rutin BTL'!Q69:S69</f>
        <v>19830101 200112 1 003</v>
      </c>
      <c r="R61" s="2721"/>
      <c r="S61" s="2722"/>
      <c r="T61" s="109" t="s">
        <v>307</v>
      </c>
      <c r="U61" s="444"/>
      <c r="V61" s="445" t="s">
        <v>290</v>
      </c>
    </row>
    <row r="62" spans="2:23" ht="14.5" thickBot="1" x14ac:dyDescent="0.35">
      <c r="B62" s="2725"/>
      <c r="C62" s="2726"/>
      <c r="D62" s="2726"/>
      <c r="E62" s="2726"/>
      <c r="F62" s="2726"/>
      <c r="G62" s="2726"/>
      <c r="H62" s="2726"/>
      <c r="I62" s="2726"/>
      <c r="J62" s="2726"/>
      <c r="K62" s="2726"/>
      <c r="L62" s="2727"/>
      <c r="M62" s="106">
        <v>7</v>
      </c>
      <c r="N62" s="2728" t="str">
        <f>'Rutin BTL'!N70:P70</f>
        <v>Alriandi, S.STP, M.Si</v>
      </c>
      <c r="O62" s="2729"/>
      <c r="P62" s="2729"/>
      <c r="Q62" s="2733" t="str">
        <f>'Rutin BTL'!Q70:S70</f>
        <v>19830308 200112 1 001</v>
      </c>
      <c r="R62" s="2734"/>
      <c r="S62" s="2735"/>
      <c r="T62" s="110" t="s">
        <v>308</v>
      </c>
      <c r="U62" s="447" t="s">
        <v>291</v>
      </c>
      <c r="V62" s="448"/>
    </row>
    <row r="63" spans="2:23" ht="13" thickTop="1" x14ac:dyDescent="0.25">
      <c r="B63" s="342"/>
      <c r="C63" s="342"/>
      <c r="D63" s="342"/>
      <c r="E63" s="342"/>
      <c r="F63" s="342"/>
      <c r="G63" s="342"/>
      <c r="H63" s="342"/>
      <c r="I63" s="342"/>
      <c r="J63" s="342"/>
      <c r="K63" s="342"/>
      <c r="L63" s="342"/>
      <c r="M63" s="342"/>
      <c r="N63" s="342"/>
      <c r="O63" s="342"/>
      <c r="P63" s="342"/>
    </row>
    <row r="64" spans="2:23" x14ac:dyDescent="0.25">
      <c r="B64" s="342"/>
      <c r="C64" s="342"/>
      <c r="D64" s="342"/>
      <c r="E64" s="342"/>
      <c r="F64" s="342"/>
      <c r="G64" s="342"/>
      <c r="H64" s="342"/>
      <c r="I64" s="342"/>
      <c r="J64" s="342"/>
      <c r="K64" s="342"/>
      <c r="L64" s="342"/>
      <c r="M64" s="342"/>
      <c r="N64" s="342"/>
      <c r="O64" s="342"/>
      <c r="P64" s="342"/>
    </row>
    <row r="65" spans="2:16" x14ac:dyDescent="0.25">
      <c r="B65" s="342"/>
      <c r="C65" s="342"/>
      <c r="D65" s="342"/>
      <c r="E65" s="342"/>
      <c r="F65" s="342"/>
      <c r="G65" s="342"/>
      <c r="H65" s="342"/>
      <c r="I65" s="342"/>
      <c r="J65" s="342"/>
      <c r="K65" s="342"/>
      <c r="L65" s="342"/>
      <c r="M65" s="342"/>
      <c r="N65" s="342"/>
      <c r="O65" s="342"/>
      <c r="P65" s="342"/>
    </row>
    <row r="66" spans="2:16" x14ac:dyDescent="0.25">
      <c r="B66" s="342"/>
      <c r="C66" s="342"/>
      <c r="D66" s="342"/>
      <c r="E66" s="342"/>
      <c r="F66" s="342"/>
      <c r="G66" s="342"/>
      <c r="H66" s="342"/>
      <c r="I66" s="342"/>
      <c r="J66" s="342"/>
      <c r="K66" s="342"/>
      <c r="L66" s="342"/>
      <c r="M66" s="342"/>
      <c r="N66" s="342"/>
      <c r="O66" s="342"/>
      <c r="P66" s="342"/>
    </row>
    <row r="67" spans="2:16" x14ac:dyDescent="0.25">
      <c r="B67" s="342"/>
      <c r="C67" s="342"/>
      <c r="D67" s="342"/>
      <c r="E67" s="342"/>
      <c r="F67" s="342"/>
      <c r="G67" s="342"/>
      <c r="H67" s="342"/>
      <c r="I67" s="342"/>
      <c r="J67" s="342"/>
      <c r="K67" s="342"/>
      <c r="L67" s="342"/>
      <c r="M67" s="342"/>
      <c r="N67" s="342"/>
      <c r="O67" s="342"/>
      <c r="P67" s="342"/>
    </row>
    <row r="68" spans="2:16" x14ac:dyDescent="0.25">
      <c r="B68" s="342"/>
      <c r="C68" s="342"/>
      <c r="D68" s="342"/>
      <c r="E68" s="342"/>
      <c r="F68" s="342"/>
      <c r="G68" s="342"/>
      <c r="H68" s="342"/>
      <c r="I68" s="342"/>
      <c r="J68" s="342"/>
      <c r="K68" s="342"/>
      <c r="L68" s="342"/>
      <c r="M68" s="342"/>
      <c r="N68" s="342"/>
      <c r="O68" s="342"/>
      <c r="P68" s="342"/>
    </row>
    <row r="69" spans="2:16" x14ac:dyDescent="0.25">
      <c r="B69" s="342"/>
      <c r="C69" s="342"/>
      <c r="D69" s="342"/>
      <c r="E69" s="342"/>
      <c r="F69" s="342"/>
      <c r="G69" s="342"/>
      <c r="H69" s="342"/>
      <c r="I69" s="342"/>
      <c r="J69" s="342"/>
      <c r="K69" s="342"/>
      <c r="L69" s="342"/>
      <c r="M69" s="342"/>
      <c r="N69" s="342"/>
      <c r="O69" s="342"/>
      <c r="P69" s="342"/>
    </row>
    <row r="70" spans="2:16" x14ac:dyDescent="0.25">
      <c r="B70" s="342"/>
      <c r="C70" s="342"/>
      <c r="D70" s="342"/>
      <c r="E70" s="342"/>
      <c r="F70" s="342"/>
      <c r="G70" s="342"/>
      <c r="H70" s="342"/>
      <c r="I70" s="342"/>
      <c r="J70" s="342"/>
      <c r="K70" s="342"/>
      <c r="L70" s="342"/>
      <c r="M70" s="342"/>
      <c r="N70" s="342"/>
      <c r="O70" s="342"/>
      <c r="P70" s="342"/>
    </row>
    <row r="71" spans="2:16" x14ac:dyDescent="0.25">
      <c r="B71" s="342"/>
      <c r="C71" s="342"/>
      <c r="D71" s="342"/>
      <c r="E71" s="342"/>
      <c r="F71" s="342"/>
      <c r="G71" s="342"/>
      <c r="H71" s="342"/>
      <c r="I71" s="342"/>
      <c r="J71" s="342"/>
      <c r="K71" s="342"/>
      <c r="L71" s="342"/>
      <c r="M71" s="342"/>
      <c r="N71" s="342"/>
      <c r="O71" s="342"/>
      <c r="P71" s="342"/>
    </row>
    <row r="72" spans="2:16" x14ac:dyDescent="0.25">
      <c r="B72" s="342"/>
      <c r="C72" s="342"/>
      <c r="D72" s="342"/>
      <c r="E72" s="342"/>
      <c r="F72" s="342"/>
      <c r="G72" s="342"/>
      <c r="H72" s="342"/>
      <c r="I72" s="342"/>
      <c r="J72" s="342"/>
      <c r="K72" s="342"/>
      <c r="L72" s="342"/>
      <c r="M72" s="342"/>
      <c r="N72" s="342"/>
      <c r="O72" s="342"/>
      <c r="P72" s="342"/>
    </row>
    <row r="73" spans="2:16" x14ac:dyDescent="0.25">
      <c r="B73" s="342"/>
      <c r="C73" s="342"/>
      <c r="D73" s="342"/>
      <c r="E73" s="342"/>
      <c r="F73" s="342"/>
      <c r="G73" s="342"/>
      <c r="H73" s="342"/>
      <c r="I73" s="342"/>
      <c r="J73" s="342"/>
      <c r="K73" s="342"/>
      <c r="L73" s="342"/>
      <c r="M73" s="342"/>
      <c r="N73" s="342"/>
      <c r="O73" s="342"/>
      <c r="P73" s="342"/>
    </row>
    <row r="74" spans="2:16" x14ac:dyDescent="0.25">
      <c r="B74" s="342"/>
      <c r="C74" s="342"/>
      <c r="D74" s="342"/>
      <c r="E74" s="342"/>
      <c r="F74" s="342"/>
      <c r="G74" s="342"/>
      <c r="H74" s="342"/>
      <c r="I74" s="342"/>
      <c r="J74" s="342"/>
      <c r="K74" s="342"/>
      <c r="L74" s="342"/>
      <c r="M74" s="342"/>
      <c r="N74" s="342"/>
      <c r="O74" s="342"/>
      <c r="P74" s="342"/>
    </row>
    <row r="75" spans="2:16" x14ac:dyDescent="0.25">
      <c r="B75" s="342"/>
      <c r="C75" s="342"/>
      <c r="D75" s="342"/>
      <c r="E75" s="342"/>
      <c r="F75" s="342"/>
      <c r="G75" s="342"/>
      <c r="H75" s="342"/>
      <c r="I75" s="342"/>
      <c r="J75" s="342"/>
      <c r="K75" s="342"/>
      <c r="L75" s="342"/>
      <c r="M75" s="342"/>
      <c r="N75" s="342"/>
      <c r="O75" s="342"/>
      <c r="P75" s="342"/>
    </row>
    <row r="76" spans="2:16" x14ac:dyDescent="0.25">
      <c r="B76" s="342"/>
      <c r="C76" s="342"/>
      <c r="D76" s="342"/>
      <c r="E76" s="342"/>
      <c r="F76" s="342"/>
      <c r="G76" s="342"/>
      <c r="H76" s="342"/>
      <c r="I76" s="342"/>
      <c r="J76" s="342"/>
      <c r="K76" s="342"/>
      <c r="L76" s="342"/>
      <c r="M76" s="342"/>
      <c r="N76" s="342"/>
      <c r="O76" s="342"/>
      <c r="P76" s="342"/>
    </row>
    <row r="77" spans="2:16" x14ac:dyDescent="0.25">
      <c r="B77" s="342"/>
      <c r="C77" s="342"/>
      <c r="D77" s="342"/>
      <c r="E77" s="342"/>
      <c r="F77" s="342"/>
      <c r="G77" s="342"/>
      <c r="H77" s="342"/>
      <c r="I77" s="342"/>
      <c r="J77" s="342"/>
      <c r="K77" s="342"/>
      <c r="L77" s="342"/>
      <c r="M77" s="342"/>
      <c r="N77" s="342"/>
      <c r="O77" s="342"/>
      <c r="P77" s="342"/>
    </row>
    <row r="78" spans="2:16" x14ac:dyDescent="0.25">
      <c r="B78" s="342"/>
      <c r="C78" s="342"/>
      <c r="D78" s="342"/>
      <c r="E78" s="342"/>
      <c r="F78" s="342"/>
      <c r="G78" s="342"/>
      <c r="H78" s="342"/>
      <c r="I78" s="342"/>
      <c r="J78" s="342"/>
      <c r="K78" s="342"/>
      <c r="L78" s="342"/>
      <c r="M78" s="342"/>
      <c r="N78" s="342"/>
      <c r="O78" s="342"/>
      <c r="P78" s="342"/>
    </row>
    <row r="79" spans="2:16" x14ac:dyDescent="0.25">
      <c r="B79" s="342"/>
      <c r="C79" s="342"/>
      <c r="D79" s="342"/>
      <c r="E79" s="342"/>
      <c r="F79" s="342"/>
      <c r="G79" s="342"/>
      <c r="H79" s="342"/>
      <c r="I79" s="342"/>
      <c r="J79" s="342"/>
      <c r="K79" s="342"/>
      <c r="L79" s="342"/>
      <c r="M79" s="342"/>
      <c r="N79" s="342"/>
      <c r="O79" s="342"/>
      <c r="P79" s="342"/>
    </row>
  </sheetData>
  <mergeCells count="97">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S52:U52"/>
    <mergeCell ref="B27:K27"/>
    <mergeCell ref="B43:O43"/>
    <mergeCell ref="Q43:S43"/>
    <mergeCell ref="S45:U45"/>
    <mergeCell ref="S46:U46"/>
    <mergeCell ref="S47:U47"/>
    <mergeCell ref="S51:U51"/>
    <mergeCell ref="B54:L54"/>
    <mergeCell ref="M54:V54"/>
    <mergeCell ref="B55:L55"/>
    <mergeCell ref="N55:P55"/>
    <mergeCell ref="Q55:S55"/>
    <mergeCell ref="U55:V55"/>
    <mergeCell ref="B56:K56"/>
    <mergeCell ref="N56:P56"/>
    <mergeCell ref="Q56:S56"/>
    <mergeCell ref="B57:K57"/>
    <mergeCell ref="N57:P57"/>
    <mergeCell ref="Q57:S57"/>
    <mergeCell ref="B58:K58"/>
    <mergeCell ref="N58:P58"/>
    <mergeCell ref="Q58:S58"/>
    <mergeCell ref="B59:K59"/>
    <mergeCell ref="N59:P59"/>
    <mergeCell ref="Q59:S59"/>
    <mergeCell ref="B62:L62"/>
    <mergeCell ref="N62:P62"/>
    <mergeCell ref="Q62:S62"/>
    <mergeCell ref="B60:K60"/>
    <mergeCell ref="N60:P60"/>
    <mergeCell ref="Q60:S60"/>
    <mergeCell ref="B61:L61"/>
    <mergeCell ref="N61:P61"/>
    <mergeCell ref="Q61:S61"/>
  </mergeCells>
  <pageMargins left="0.511811023622047" right="1.0255905510000001" top="0.261811024" bottom="0.222440945" header="0.31496062992126" footer="0.31496062992126"/>
  <pageSetup paperSize="5" scale="62" orientation="landscape"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98"/>
  <sheetViews>
    <sheetView view="pageBreakPreview" topLeftCell="A5" zoomScale="77" zoomScaleNormal="70" zoomScaleSheetLayoutView="110" workbookViewId="0">
      <selection activeCell="M16" sqref="M16:P16"/>
    </sheetView>
  </sheetViews>
  <sheetFormatPr defaultColWidth="8.7265625" defaultRowHeight="12.5" x14ac:dyDescent="0.25"/>
  <cols>
    <col min="1" max="1" width="3.8164062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2.08984375" style="341" customWidth="1"/>
    <col min="17" max="17" width="9" style="341" customWidth="1"/>
    <col min="18" max="18" width="8" style="341" customWidth="1"/>
    <col min="19" max="19" width="15.1796875" style="341" customWidth="1"/>
    <col min="20" max="20" width="25.453125" style="341" customWidth="1"/>
    <col min="21" max="21" width="17" style="341" customWidth="1"/>
    <col min="22" max="22" width="15" style="341" customWidth="1"/>
    <col min="23" max="23" width="8.7265625" style="341"/>
    <col min="24" max="24" width="13" style="341" bestFit="1" customWidth="1"/>
    <col min="25"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345</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244</v>
      </c>
      <c r="M9" s="2866" t="s">
        <v>386</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1" t="s">
        <v>479</v>
      </c>
      <c r="M16" s="2827" t="str">
        <f>L16</f>
        <v xml:space="preserve">Persentase jasa kebersihan kantor yang disediakan </v>
      </c>
      <c r="N16" s="2828"/>
      <c r="O16" s="2828"/>
      <c r="P16" s="2829"/>
      <c r="Q16" s="2821">
        <v>1</v>
      </c>
      <c r="R16" s="2822"/>
      <c r="S16" s="2822"/>
      <c r="T16" s="2872">
        <f>Q16</f>
        <v>1</v>
      </c>
      <c r="U16" s="2873"/>
      <c r="V16" s="2874"/>
      <c r="W16" s="522"/>
      <c r="X16" s="523"/>
    </row>
    <row r="17" spans="2:22" ht="14" x14ac:dyDescent="0.3">
      <c r="B17" s="2817" t="s">
        <v>135</v>
      </c>
      <c r="C17" s="2818"/>
      <c r="D17" s="2818"/>
      <c r="E17" s="2818"/>
      <c r="F17" s="2818"/>
      <c r="G17" s="2818"/>
      <c r="H17" s="2818"/>
      <c r="I17" s="2818"/>
      <c r="J17" s="2818"/>
      <c r="K17" s="2819"/>
      <c r="L17" s="524" t="s">
        <v>429</v>
      </c>
      <c r="M17" s="2838" t="str">
        <f>L17</f>
        <v>Jumlah Dana Yang dibutuhkan</v>
      </c>
      <c r="N17" s="2838"/>
      <c r="O17" s="2838"/>
      <c r="P17" s="2838"/>
      <c r="Q17" s="2839">
        <f>P28</f>
        <v>9300000</v>
      </c>
      <c r="R17" s="2840"/>
      <c r="S17" s="2841"/>
      <c r="T17" s="2842">
        <f>T28</f>
        <v>5550000</v>
      </c>
      <c r="U17" s="2842"/>
      <c r="V17" s="2843"/>
    </row>
    <row r="18" spans="2:22" ht="14" x14ac:dyDescent="0.25">
      <c r="B18" s="2834" t="s">
        <v>136</v>
      </c>
      <c r="C18" s="2835"/>
      <c r="D18" s="2835"/>
      <c r="E18" s="2835"/>
      <c r="F18" s="2835"/>
      <c r="G18" s="2835"/>
      <c r="H18" s="2835"/>
      <c r="I18" s="2835"/>
      <c r="J18" s="2835"/>
      <c r="K18" s="2836"/>
      <c r="L18" s="525" t="s">
        <v>480</v>
      </c>
      <c r="M18" s="2820" t="str">
        <f>L18</f>
        <v xml:space="preserve">Jumlah waktu jasa kebersihan kantor yang disediakan </v>
      </c>
      <c r="N18" s="2820"/>
      <c r="O18" s="2820"/>
      <c r="P18" s="2820"/>
      <c r="Q18" s="2616" t="s">
        <v>149</v>
      </c>
      <c r="R18" s="2616"/>
      <c r="S18" s="2616"/>
      <c r="T18" s="2616" t="s">
        <v>342</v>
      </c>
      <c r="U18" s="2616"/>
      <c r="V18" s="2837"/>
    </row>
    <row r="19" spans="2:22" ht="25" x14ac:dyDescent="0.25">
      <c r="B19" s="2834" t="s">
        <v>137</v>
      </c>
      <c r="C19" s="2835"/>
      <c r="D19" s="2835"/>
      <c r="E19" s="2835"/>
      <c r="F19" s="2835"/>
      <c r="G19" s="2835"/>
      <c r="H19" s="2835"/>
      <c r="I19" s="2835"/>
      <c r="J19" s="2835"/>
      <c r="K19" s="2836"/>
      <c r="L19" s="977" t="s">
        <v>478</v>
      </c>
      <c r="M19" s="2875" t="str">
        <f>L19</f>
        <v>Tingkat pelayanan administrasi perkantoran yang maksimal</v>
      </c>
      <c r="N19" s="2875"/>
      <c r="O19" s="2875"/>
      <c r="P19" s="2875"/>
      <c r="Q19" s="2830">
        <v>1</v>
      </c>
      <c r="R19" s="2616"/>
      <c r="S19" s="2616"/>
      <c r="T19" s="2830">
        <f>Q19</f>
        <v>1</v>
      </c>
      <c r="U19" s="2616"/>
      <c r="V19" s="2837"/>
    </row>
    <row r="20" spans="2:22" ht="14.25" customHeight="1" x14ac:dyDescent="0.3">
      <c r="B20" s="2824" t="s">
        <v>346</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817">
        <v>1</v>
      </c>
      <c r="C28" s="564" t="s">
        <v>239</v>
      </c>
      <c r="D28" s="564" t="s">
        <v>84</v>
      </c>
      <c r="E28" s="565"/>
      <c r="F28" s="474"/>
      <c r="G28" s="566">
        <v>5</v>
      </c>
      <c r="H28" s="566">
        <v>2</v>
      </c>
      <c r="I28" s="566"/>
      <c r="J28" s="566"/>
      <c r="K28" s="566"/>
      <c r="L28" s="490" t="s">
        <v>54</v>
      </c>
      <c r="M28" s="491"/>
      <c r="N28" s="491"/>
      <c r="O28" s="492"/>
      <c r="P28" s="567">
        <f>P29</f>
        <v>9300000</v>
      </c>
      <c r="Q28" s="491"/>
      <c r="R28" s="491"/>
      <c r="S28" s="492"/>
      <c r="T28" s="567">
        <f>T29</f>
        <v>5550000</v>
      </c>
      <c r="U28" s="526"/>
      <c r="V28" s="425"/>
    </row>
    <row r="29" spans="2:22" x14ac:dyDescent="0.25">
      <c r="B29" s="654">
        <v>1</v>
      </c>
      <c r="C29" s="564" t="s">
        <v>239</v>
      </c>
      <c r="D29" s="564" t="s">
        <v>84</v>
      </c>
      <c r="E29" s="568" t="s">
        <v>84</v>
      </c>
      <c r="F29" s="474"/>
      <c r="G29" s="566"/>
      <c r="H29" s="566"/>
      <c r="I29" s="566"/>
      <c r="J29" s="566"/>
      <c r="K29" s="566"/>
      <c r="L29" s="494" t="s">
        <v>110</v>
      </c>
      <c r="M29" s="491"/>
      <c r="N29" s="491"/>
      <c r="O29" s="492"/>
      <c r="P29" s="569">
        <f>P30</f>
        <v>9300000</v>
      </c>
      <c r="Q29" s="491"/>
      <c r="R29" s="491"/>
      <c r="S29" s="492"/>
      <c r="T29" s="569">
        <f>T30</f>
        <v>5550000</v>
      </c>
      <c r="U29" s="527"/>
      <c r="V29" s="429"/>
    </row>
    <row r="30" spans="2:22" x14ac:dyDescent="0.25">
      <c r="B30" s="654">
        <v>1</v>
      </c>
      <c r="C30" s="564" t="s">
        <v>239</v>
      </c>
      <c r="D30" s="564" t="s">
        <v>84</v>
      </c>
      <c r="E30" s="568" t="s">
        <v>84</v>
      </c>
      <c r="F30" s="570" t="s">
        <v>99</v>
      </c>
      <c r="G30" s="566"/>
      <c r="H30" s="566"/>
      <c r="I30" s="566"/>
      <c r="J30" s="566"/>
      <c r="K30" s="564"/>
      <c r="L30" s="494" t="s">
        <v>98</v>
      </c>
      <c r="M30" s="491"/>
      <c r="N30" s="491"/>
      <c r="O30" s="492"/>
      <c r="P30" s="569">
        <f>P32</f>
        <v>9300000</v>
      </c>
      <c r="Q30" s="491"/>
      <c r="R30" s="491"/>
      <c r="S30" s="492"/>
      <c r="T30" s="569">
        <f>T32</f>
        <v>5550000</v>
      </c>
      <c r="U30" s="527"/>
      <c r="V30" s="429"/>
    </row>
    <row r="31" spans="2:22" x14ac:dyDescent="0.25">
      <c r="B31" s="654"/>
      <c r="C31" s="564"/>
      <c r="D31" s="564"/>
      <c r="E31" s="568"/>
      <c r="F31" s="570"/>
      <c r="G31" s="566"/>
      <c r="H31" s="566"/>
      <c r="I31" s="566"/>
      <c r="J31" s="566"/>
      <c r="K31" s="564"/>
      <c r="L31" s="494"/>
      <c r="M31" s="491"/>
      <c r="N31" s="491"/>
      <c r="O31" s="492"/>
      <c r="P31" s="569"/>
      <c r="Q31" s="491"/>
      <c r="R31" s="491"/>
      <c r="S31" s="492"/>
      <c r="T31" s="569"/>
      <c r="U31" s="527"/>
      <c r="V31" s="429"/>
    </row>
    <row r="32" spans="2:22" x14ac:dyDescent="0.25">
      <c r="B32" s="654">
        <v>1</v>
      </c>
      <c r="C32" s="564" t="s">
        <v>239</v>
      </c>
      <c r="D32" s="564" t="s">
        <v>84</v>
      </c>
      <c r="E32" s="568" t="s">
        <v>84</v>
      </c>
      <c r="F32" s="570" t="s">
        <v>99</v>
      </c>
      <c r="G32" s="566">
        <v>5</v>
      </c>
      <c r="H32" s="566">
        <v>2</v>
      </c>
      <c r="I32" s="566">
        <v>2</v>
      </c>
      <c r="J32" s="566"/>
      <c r="K32" s="566"/>
      <c r="L32" s="497" t="s">
        <v>64</v>
      </c>
      <c r="M32" s="571"/>
      <c r="N32" s="499"/>
      <c r="O32" s="500"/>
      <c r="P32" s="569">
        <f>P33+P58</f>
        <v>9300000</v>
      </c>
      <c r="Q32" s="571"/>
      <c r="R32" s="499"/>
      <c r="S32" s="500"/>
      <c r="T32" s="569">
        <f>T33+T58</f>
        <v>5550000</v>
      </c>
      <c r="U32" s="527"/>
      <c r="V32" s="429"/>
    </row>
    <row r="33" spans="2:22" x14ac:dyDescent="0.25">
      <c r="B33" s="654">
        <v>1</v>
      </c>
      <c r="C33" s="564" t="s">
        <v>239</v>
      </c>
      <c r="D33" s="564" t="s">
        <v>84</v>
      </c>
      <c r="E33" s="568" t="s">
        <v>84</v>
      </c>
      <c r="F33" s="570" t="s">
        <v>99</v>
      </c>
      <c r="G33" s="566">
        <v>5</v>
      </c>
      <c r="H33" s="566">
        <v>2</v>
      </c>
      <c r="I33" s="566">
        <v>2</v>
      </c>
      <c r="J33" s="564" t="s">
        <v>84</v>
      </c>
      <c r="K33" s="566"/>
      <c r="L33" s="494" t="s">
        <v>111</v>
      </c>
      <c r="M33" s="571"/>
      <c r="N33" s="499"/>
      <c r="O33" s="500"/>
      <c r="P33" s="569">
        <f>P34</f>
        <v>7500000</v>
      </c>
      <c r="Q33" s="571"/>
      <c r="R33" s="499"/>
      <c r="S33" s="500"/>
      <c r="T33" s="569">
        <f>T34</f>
        <v>3750000</v>
      </c>
      <c r="U33" s="527"/>
      <c r="V33" s="429"/>
    </row>
    <row r="34" spans="2:22" ht="25" x14ac:dyDescent="0.25">
      <c r="B34" s="654">
        <v>1</v>
      </c>
      <c r="C34" s="564" t="s">
        <v>239</v>
      </c>
      <c r="D34" s="564" t="s">
        <v>84</v>
      </c>
      <c r="E34" s="568" t="s">
        <v>84</v>
      </c>
      <c r="F34" s="570" t="s">
        <v>99</v>
      </c>
      <c r="G34" s="566">
        <v>5</v>
      </c>
      <c r="H34" s="566">
        <v>2</v>
      </c>
      <c r="I34" s="566">
        <v>2</v>
      </c>
      <c r="J34" s="564" t="s">
        <v>84</v>
      </c>
      <c r="K34" s="564" t="s">
        <v>101</v>
      </c>
      <c r="L34" s="572" t="s">
        <v>102</v>
      </c>
      <c r="M34" s="571"/>
      <c r="N34" s="499"/>
      <c r="O34" s="500"/>
      <c r="P34" s="573">
        <f>SUM(P35:P56)</f>
        <v>7500000</v>
      </c>
      <c r="Q34" s="571"/>
      <c r="R34" s="499"/>
      <c r="S34" s="500"/>
      <c r="T34" s="573">
        <f>SUM(T35:T56)</f>
        <v>3750000</v>
      </c>
      <c r="U34" s="527"/>
      <c r="V34" s="429"/>
    </row>
    <row r="35" spans="2:22" x14ac:dyDescent="0.25">
      <c r="B35" s="654"/>
      <c r="C35" s="564"/>
      <c r="D35" s="564"/>
      <c r="E35" s="568"/>
      <c r="F35" s="570"/>
      <c r="G35" s="566"/>
      <c r="H35" s="566"/>
      <c r="I35" s="566"/>
      <c r="J35" s="564"/>
      <c r="K35" s="574"/>
      <c r="L35" s="575" t="s">
        <v>672</v>
      </c>
      <c r="M35" s="576" t="s">
        <v>103</v>
      </c>
      <c r="N35" s="577" t="s">
        <v>192</v>
      </c>
      <c r="O35" s="578">
        <v>22380</v>
      </c>
      <c r="P35" s="579">
        <f t="shared" ref="P35:P56" si="0">O35*M35</f>
        <v>223800</v>
      </c>
      <c r="Q35" s="576" t="s">
        <v>673</v>
      </c>
      <c r="R35" s="577" t="s">
        <v>192</v>
      </c>
      <c r="S35" s="578">
        <v>22000</v>
      </c>
      <c r="T35" s="579">
        <f t="shared" ref="T35:T56" si="1">S35*Q35</f>
        <v>132000</v>
      </c>
      <c r="U35" s="527"/>
      <c r="V35" s="429"/>
    </row>
    <row r="36" spans="2:22" x14ac:dyDescent="0.25">
      <c r="B36" s="654"/>
      <c r="C36" s="564"/>
      <c r="D36" s="564"/>
      <c r="E36" s="568"/>
      <c r="F36" s="570"/>
      <c r="G36" s="566"/>
      <c r="H36" s="566"/>
      <c r="I36" s="566"/>
      <c r="J36" s="564"/>
      <c r="K36" s="574"/>
      <c r="L36" s="580" t="s">
        <v>674</v>
      </c>
      <c r="M36" s="581" t="s">
        <v>103</v>
      </c>
      <c r="N36" s="582" t="s">
        <v>71</v>
      </c>
      <c r="O36" s="583">
        <v>30000</v>
      </c>
      <c r="P36" s="579">
        <f t="shared" si="0"/>
        <v>300000</v>
      </c>
      <c r="Q36" s="581" t="s">
        <v>673</v>
      </c>
      <c r="R36" s="582" t="s">
        <v>71</v>
      </c>
      <c r="S36" s="583">
        <v>30000</v>
      </c>
      <c r="T36" s="579">
        <f t="shared" si="1"/>
        <v>180000</v>
      </c>
      <c r="U36" s="527">
        <f t="shared" ref="U36:U37" si="2">SUM(T36)-P36</f>
        <v>-120000</v>
      </c>
      <c r="V36" s="429"/>
    </row>
    <row r="37" spans="2:22" x14ac:dyDescent="0.25">
      <c r="B37" s="654"/>
      <c r="C37" s="564"/>
      <c r="D37" s="564"/>
      <c r="E37" s="568"/>
      <c r="F37" s="570"/>
      <c r="G37" s="566"/>
      <c r="H37" s="566"/>
      <c r="I37" s="566"/>
      <c r="J37" s="564"/>
      <c r="K37" s="574"/>
      <c r="L37" s="580" t="s">
        <v>675</v>
      </c>
      <c r="M37" s="581" t="s">
        <v>103</v>
      </c>
      <c r="N37" s="582" t="s">
        <v>71</v>
      </c>
      <c r="O37" s="583">
        <v>15000</v>
      </c>
      <c r="P37" s="579">
        <f t="shared" si="0"/>
        <v>150000</v>
      </c>
      <c r="Q37" s="581" t="s">
        <v>673</v>
      </c>
      <c r="R37" s="582" t="s">
        <v>71</v>
      </c>
      <c r="S37" s="583">
        <v>15000</v>
      </c>
      <c r="T37" s="579">
        <f t="shared" si="1"/>
        <v>90000</v>
      </c>
      <c r="U37" s="527">
        <f t="shared" si="2"/>
        <v>-60000</v>
      </c>
      <c r="V37" s="429"/>
    </row>
    <row r="38" spans="2:22" x14ac:dyDescent="0.25">
      <c r="B38" s="654"/>
      <c r="C38" s="566"/>
      <c r="D38" s="566"/>
      <c r="E38" s="565"/>
      <c r="F38" s="474"/>
      <c r="G38" s="566"/>
      <c r="H38" s="566"/>
      <c r="I38" s="566"/>
      <c r="J38" s="566"/>
      <c r="K38" s="584"/>
      <c r="L38" s="580" t="s">
        <v>676</v>
      </c>
      <c r="M38" s="581" t="s">
        <v>103</v>
      </c>
      <c r="N38" s="582" t="s">
        <v>0</v>
      </c>
      <c r="O38" s="583">
        <v>12000</v>
      </c>
      <c r="P38" s="585">
        <f t="shared" si="0"/>
        <v>120000</v>
      </c>
      <c r="Q38" s="581" t="s">
        <v>673</v>
      </c>
      <c r="R38" s="582" t="s">
        <v>0</v>
      </c>
      <c r="S38" s="583">
        <v>12000</v>
      </c>
      <c r="T38" s="585">
        <f t="shared" si="1"/>
        <v>72000</v>
      </c>
      <c r="U38" s="527"/>
      <c r="V38" s="429"/>
    </row>
    <row r="39" spans="2:22" x14ac:dyDescent="0.25">
      <c r="B39" s="654"/>
      <c r="C39" s="566"/>
      <c r="D39" s="566"/>
      <c r="E39" s="565"/>
      <c r="F39" s="474"/>
      <c r="G39" s="566"/>
      <c r="H39" s="566"/>
      <c r="I39" s="566"/>
      <c r="J39" s="566"/>
      <c r="K39" s="584"/>
      <c r="L39" s="580" t="s">
        <v>677</v>
      </c>
      <c r="M39" s="581" t="s">
        <v>1013</v>
      </c>
      <c r="N39" s="582" t="s">
        <v>0</v>
      </c>
      <c r="O39" s="583">
        <v>11900</v>
      </c>
      <c r="P39" s="579">
        <f t="shared" si="0"/>
        <v>130900</v>
      </c>
      <c r="Q39" s="581" t="s">
        <v>673</v>
      </c>
      <c r="R39" s="582" t="s">
        <v>0</v>
      </c>
      <c r="S39" s="583">
        <v>11900</v>
      </c>
      <c r="T39" s="579">
        <f t="shared" si="1"/>
        <v>71400</v>
      </c>
      <c r="U39" s="527">
        <f t="shared" ref="U39:U47" si="3">SUM(T39)-P39</f>
        <v>-59500</v>
      </c>
      <c r="V39" s="429"/>
    </row>
    <row r="40" spans="2:22" x14ac:dyDescent="0.25">
      <c r="B40" s="654"/>
      <c r="C40" s="566"/>
      <c r="D40" s="566"/>
      <c r="E40" s="565"/>
      <c r="F40" s="474"/>
      <c r="G40" s="566"/>
      <c r="H40" s="566"/>
      <c r="I40" s="566"/>
      <c r="J40" s="566"/>
      <c r="K40" s="584"/>
      <c r="L40" s="580" t="s">
        <v>678</v>
      </c>
      <c r="M40" s="581" t="s">
        <v>684</v>
      </c>
      <c r="N40" s="582" t="s">
        <v>71</v>
      </c>
      <c r="O40" s="583">
        <v>407000</v>
      </c>
      <c r="P40" s="579">
        <f t="shared" si="0"/>
        <v>2035000</v>
      </c>
      <c r="Q40" s="581" t="s">
        <v>679</v>
      </c>
      <c r="R40" s="582" t="s">
        <v>71</v>
      </c>
      <c r="S40" s="583">
        <v>407000</v>
      </c>
      <c r="T40" s="579">
        <f t="shared" si="1"/>
        <v>814000</v>
      </c>
      <c r="U40" s="527">
        <f t="shared" si="3"/>
        <v>-1221000</v>
      </c>
      <c r="V40" s="429"/>
    </row>
    <row r="41" spans="2:22" x14ac:dyDescent="0.25">
      <c r="B41" s="654"/>
      <c r="C41" s="566"/>
      <c r="D41" s="566"/>
      <c r="E41" s="565"/>
      <c r="F41" s="474"/>
      <c r="G41" s="566"/>
      <c r="H41" s="566"/>
      <c r="I41" s="566"/>
      <c r="J41" s="566"/>
      <c r="K41" s="584"/>
      <c r="L41" s="580" t="s">
        <v>680</v>
      </c>
      <c r="M41" s="581" t="s">
        <v>1014</v>
      </c>
      <c r="N41" s="582" t="s">
        <v>71</v>
      </c>
      <c r="O41" s="583">
        <v>46300</v>
      </c>
      <c r="P41" s="579">
        <f t="shared" si="0"/>
        <v>740800</v>
      </c>
      <c r="Q41" s="581" t="s">
        <v>681</v>
      </c>
      <c r="R41" s="582" t="s">
        <v>71</v>
      </c>
      <c r="S41" s="583">
        <v>46300</v>
      </c>
      <c r="T41" s="579">
        <f t="shared" si="1"/>
        <v>555600</v>
      </c>
      <c r="U41" s="527">
        <f t="shared" si="3"/>
        <v>-185200</v>
      </c>
      <c r="V41" s="429"/>
    </row>
    <row r="42" spans="2:22" x14ac:dyDescent="0.25">
      <c r="B42" s="654"/>
      <c r="C42" s="566"/>
      <c r="D42" s="566"/>
      <c r="E42" s="565"/>
      <c r="F42" s="474"/>
      <c r="G42" s="566"/>
      <c r="H42" s="566"/>
      <c r="I42" s="566"/>
      <c r="J42" s="566"/>
      <c r="K42" s="584"/>
      <c r="L42" s="580" t="s">
        <v>682</v>
      </c>
      <c r="M42" s="581" t="s">
        <v>1013</v>
      </c>
      <c r="N42" s="582" t="s">
        <v>71</v>
      </c>
      <c r="O42" s="583">
        <v>20000</v>
      </c>
      <c r="P42" s="579">
        <f t="shared" si="0"/>
        <v>220000</v>
      </c>
      <c r="Q42" s="581" t="s">
        <v>673</v>
      </c>
      <c r="R42" s="582" t="s">
        <v>71</v>
      </c>
      <c r="S42" s="583">
        <v>20000</v>
      </c>
      <c r="T42" s="579">
        <f t="shared" si="1"/>
        <v>120000</v>
      </c>
      <c r="U42" s="527">
        <f t="shared" si="3"/>
        <v>-100000</v>
      </c>
      <c r="V42" s="429"/>
    </row>
    <row r="43" spans="2:22" x14ac:dyDescent="0.25">
      <c r="B43" s="654"/>
      <c r="C43" s="566"/>
      <c r="D43" s="566"/>
      <c r="E43" s="565"/>
      <c r="F43" s="474"/>
      <c r="G43" s="566"/>
      <c r="H43" s="566"/>
      <c r="I43" s="566"/>
      <c r="J43" s="566"/>
      <c r="K43" s="584"/>
      <c r="L43" s="580" t="s">
        <v>683</v>
      </c>
      <c r="M43" s="581" t="s">
        <v>103</v>
      </c>
      <c r="N43" s="582" t="s">
        <v>71</v>
      </c>
      <c r="O43" s="583">
        <v>44500</v>
      </c>
      <c r="P43" s="579">
        <f t="shared" si="0"/>
        <v>445000</v>
      </c>
      <c r="Q43" s="581" t="s">
        <v>684</v>
      </c>
      <c r="R43" s="582" t="s">
        <v>71</v>
      </c>
      <c r="S43" s="583">
        <v>44500</v>
      </c>
      <c r="T43" s="579">
        <f t="shared" si="1"/>
        <v>222500</v>
      </c>
      <c r="U43" s="527">
        <f t="shared" si="3"/>
        <v>-222500</v>
      </c>
      <c r="V43" s="429"/>
    </row>
    <row r="44" spans="2:22" x14ac:dyDescent="0.25">
      <c r="B44" s="654"/>
      <c r="C44" s="566"/>
      <c r="D44" s="566"/>
      <c r="E44" s="565"/>
      <c r="F44" s="474"/>
      <c r="G44" s="566"/>
      <c r="H44" s="566"/>
      <c r="I44" s="566"/>
      <c r="J44" s="566"/>
      <c r="K44" s="584"/>
      <c r="L44" s="580" t="s">
        <v>685</v>
      </c>
      <c r="M44" s="581" t="s">
        <v>1012</v>
      </c>
      <c r="N44" s="582" t="s">
        <v>71</v>
      </c>
      <c r="O44" s="583">
        <v>60000</v>
      </c>
      <c r="P44" s="579">
        <f t="shared" si="0"/>
        <v>540000</v>
      </c>
      <c r="Q44" s="581" t="s">
        <v>686</v>
      </c>
      <c r="R44" s="582" t="s">
        <v>71</v>
      </c>
      <c r="S44" s="583">
        <v>60000</v>
      </c>
      <c r="T44" s="579">
        <f t="shared" si="1"/>
        <v>240000</v>
      </c>
      <c r="U44" s="527">
        <f t="shared" si="3"/>
        <v>-300000</v>
      </c>
      <c r="V44" s="429"/>
    </row>
    <row r="45" spans="2:22" x14ac:dyDescent="0.25">
      <c r="B45" s="654"/>
      <c r="C45" s="564"/>
      <c r="D45" s="564"/>
      <c r="E45" s="568"/>
      <c r="F45" s="570"/>
      <c r="G45" s="566"/>
      <c r="H45" s="566"/>
      <c r="I45" s="566"/>
      <c r="J45" s="564"/>
      <c r="K45" s="574"/>
      <c r="L45" s="580" t="s">
        <v>687</v>
      </c>
      <c r="M45" s="581" t="s">
        <v>1010</v>
      </c>
      <c r="N45" s="582" t="s">
        <v>71</v>
      </c>
      <c r="O45" s="583">
        <v>11000</v>
      </c>
      <c r="P45" s="579">
        <f t="shared" si="0"/>
        <v>77000</v>
      </c>
      <c r="Q45" s="581" t="s">
        <v>688</v>
      </c>
      <c r="R45" s="582" t="s">
        <v>71</v>
      </c>
      <c r="S45" s="583">
        <v>11000</v>
      </c>
      <c r="T45" s="579">
        <f t="shared" si="1"/>
        <v>33000</v>
      </c>
      <c r="U45" s="527">
        <f t="shared" si="3"/>
        <v>-44000</v>
      </c>
      <c r="V45" s="429"/>
    </row>
    <row r="46" spans="2:22" x14ac:dyDescent="0.25">
      <c r="B46" s="654"/>
      <c r="C46" s="564"/>
      <c r="D46" s="564"/>
      <c r="E46" s="568"/>
      <c r="F46" s="570"/>
      <c r="G46" s="566"/>
      <c r="H46" s="566"/>
      <c r="I46" s="566"/>
      <c r="J46" s="564"/>
      <c r="K46" s="574"/>
      <c r="L46" s="580" t="s">
        <v>689</v>
      </c>
      <c r="M46" s="581" t="s">
        <v>673</v>
      </c>
      <c r="N46" s="582" t="s">
        <v>71</v>
      </c>
      <c r="O46" s="583">
        <v>15000</v>
      </c>
      <c r="P46" s="579">
        <f t="shared" si="0"/>
        <v>90000</v>
      </c>
      <c r="Q46" s="581" t="s">
        <v>679</v>
      </c>
      <c r="R46" s="582" t="s">
        <v>71</v>
      </c>
      <c r="S46" s="583">
        <v>15000</v>
      </c>
      <c r="T46" s="579">
        <f t="shared" si="1"/>
        <v>30000</v>
      </c>
      <c r="U46" s="527">
        <f t="shared" si="3"/>
        <v>-60000</v>
      </c>
      <c r="V46" s="429"/>
    </row>
    <row r="47" spans="2:22" x14ac:dyDescent="0.25">
      <c r="B47" s="654"/>
      <c r="C47" s="564"/>
      <c r="D47" s="564"/>
      <c r="E47" s="568"/>
      <c r="F47" s="570"/>
      <c r="G47" s="566"/>
      <c r="H47" s="566"/>
      <c r="I47" s="566"/>
      <c r="J47" s="564"/>
      <c r="K47" s="574"/>
      <c r="L47" s="580" t="s">
        <v>690</v>
      </c>
      <c r="M47" s="581" t="s">
        <v>1010</v>
      </c>
      <c r="N47" s="582" t="s">
        <v>71</v>
      </c>
      <c r="O47" s="583">
        <v>65000</v>
      </c>
      <c r="P47" s="579">
        <f t="shared" si="0"/>
        <v>455000</v>
      </c>
      <c r="Q47" s="581" t="s">
        <v>688</v>
      </c>
      <c r="R47" s="582" t="s">
        <v>71</v>
      </c>
      <c r="S47" s="583">
        <v>65000</v>
      </c>
      <c r="T47" s="579">
        <f t="shared" si="1"/>
        <v>195000</v>
      </c>
      <c r="U47" s="527">
        <f t="shared" si="3"/>
        <v>-260000</v>
      </c>
      <c r="V47" s="429"/>
    </row>
    <row r="48" spans="2:22" x14ac:dyDescent="0.25">
      <c r="B48" s="654"/>
      <c r="C48" s="564"/>
      <c r="D48" s="564"/>
      <c r="E48" s="568"/>
      <c r="F48" s="570"/>
      <c r="G48" s="566"/>
      <c r="H48" s="566"/>
      <c r="I48" s="566"/>
      <c r="J48" s="564"/>
      <c r="K48" s="574"/>
      <c r="L48" s="580" t="s">
        <v>691</v>
      </c>
      <c r="M48" s="581" t="s">
        <v>684</v>
      </c>
      <c r="N48" s="582" t="s">
        <v>71</v>
      </c>
      <c r="O48" s="583">
        <v>84700</v>
      </c>
      <c r="P48" s="579">
        <f t="shared" si="0"/>
        <v>423500</v>
      </c>
      <c r="Q48" s="581" t="s">
        <v>692</v>
      </c>
      <c r="R48" s="582" t="s">
        <v>71</v>
      </c>
      <c r="S48" s="583">
        <v>84700</v>
      </c>
      <c r="T48" s="579">
        <f t="shared" si="1"/>
        <v>84700</v>
      </c>
      <c r="U48" s="527"/>
      <c r="V48" s="429"/>
    </row>
    <row r="49" spans="2:24" x14ac:dyDescent="0.25">
      <c r="B49" s="654"/>
      <c r="C49" s="564"/>
      <c r="D49" s="564"/>
      <c r="E49" s="568"/>
      <c r="F49" s="570"/>
      <c r="G49" s="566"/>
      <c r="H49" s="566"/>
      <c r="I49" s="566"/>
      <c r="J49" s="564"/>
      <c r="K49" s="574"/>
      <c r="L49" s="580" t="s">
        <v>693</v>
      </c>
      <c r="M49" s="581" t="s">
        <v>103</v>
      </c>
      <c r="N49" s="582" t="s">
        <v>71</v>
      </c>
      <c r="O49" s="583">
        <v>9800</v>
      </c>
      <c r="P49" s="579">
        <f t="shared" si="0"/>
        <v>98000</v>
      </c>
      <c r="Q49" s="581" t="s">
        <v>673</v>
      </c>
      <c r="R49" s="582" t="s">
        <v>71</v>
      </c>
      <c r="S49" s="583">
        <v>9800</v>
      </c>
      <c r="T49" s="579">
        <f t="shared" si="1"/>
        <v>58800</v>
      </c>
      <c r="U49" s="527"/>
      <c r="V49" s="429"/>
    </row>
    <row r="50" spans="2:24" x14ac:dyDescent="0.25">
      <c r="B50" s="654"/>
      <c r="C50" s="564"/>
      <c r="D50" s="564"/>
      <c r="E50" s="568"/>
      <c r="F50" s="570"/>
      <c r="G50" s="566"/>
      <c r="H50" s="566"/>
      <c r="I50" s="566"/>
      <c r="J50" s="564"/>
      <c r="K50" s="574"/>
      <c r="L50" s="580" t="s">
        <v>694</v>
      </c>
      <c r="M50" s="581" t="s">
        <v>103</v>
      </c>
      <c r="N50" s="582" t="s">
        <v>71</v>
      </c>
      <c r="O50" s="583">
        <v>10000</v>
      </c>
      <c r="P50" s="579">
        <f t="shared" si="0"/>
        <v>100000</v>
      </c>
      <c r="Q50" s="581" t="s">
        <v>673</v>
      </c>
      <c r="R50" s="582" t="s">
        <v>71</v>
      </c>
      <c r="S50" s="583">
        <v>10000</v>
      </c>
      <c r="T50" s="579">
        <f t="shared" si="1"/>
        <v>60000</v>
      </c>
      <c r="U50" s="527"/>
      <c r="V50" s="429"/>
    </row>
    <row r="51" spans="2:24" x14ac:dyDescent="0.25">
      <c r="B51" s="654"/>
      <c r="C51" s="564"/>
      <c r="D51" s="564"/>
      <c r="E51" s="568"/>
      <c r="F51" s="570"/>
      <c r="G51" s="566"/>
      <c r="H51" s="566"/>
      <c r="I51" s="566"/>
      <c r="J51" s="564"/>
      <c r="K51" s="574"/>
      <c r="L51" s="580" t="s">
        <v>695</v>
      </c>
      <c r="M51" s="581" t="s">
        <v>681</v>
      </c>
      <c r="N51" s="582" t="s">
        <v>0</v>
      </c>
      <c r="O51" s="583">
        <v>25000</v>
      </c>
      <c r="P51" s="579">
        <f t="shared" si="0"/>
        <v>300000</v>
      </c>
      <c r="Q51" s="581" t="s">
        <v>696</v>
      </c>
      <c r="R51" s="582" t="s">
        <v>0</v>
      </c>
      <c r="S51" s="583">
        <v>25000</v>
      </c>
      <c r="T51" s="579">
        <f t="shared" si="1"/>
        <v>200000</v>
      </c>
      <c r="U51" s="527">
        <f t="shared" ref="U51:U56" si="4">SUM(T51)-P51</f>
        <v>-100000</v>
      </c>
      <c r="V51" s="429"/>
    </row>
    <row r="52" spans="2:24" x14ac:dyDescent="0.25">
      <c r="B52" s="654"/>
      <c r="C52" s="566"/>
      <c r="D52" s="566"/>
      <c r="E52" s="565"/>
      <c r="F52" s="474"/>
      <c r="G52" s="566"/>
      <c r="H52" s="566"/>
      <c r="I52" s="566"/>
      <c r="J52" s="566"/>
      <c r="K52" s="584"/>
      <c r="L52" s="580" t="s">
        <v>697</v>
      </c>
      <c r="M52" s="581" t="s">
        <v>1012</v>
      </c>
      <c r="N52" s="582" t="s">
        <v>71</v>
      </c>
      <c r="O52" s="583">
        <v>12000</v>
      </c>
      <c r="P52" s="579">
        <f t="shared" si="0"/>
        <v>108000</v>
      </c>
      <c r="Q52" s="581" t="s">
        <v>684</v>
      </c>
      <c r="R52" s="582" t="s">
        <v>71</v>
      </c>
      <c r="S52" s="583">
        <v>12000</v>
      </c>
      <c r="T52" s="579">
        <f t="shared" si="1"/>
        <v>60000</v>
      </c>
      <c r="U52" s="527">
        <f t="shared" si="4"/>
        <v>-48000</v>
      </c>
      <c r="V52" s="429"/>
    </row>
    <row r="53" spans="2:24" x14ac:dyDescent="0.25">
      <c r="B53" s="654"/>
      <c r="C53" s="566"/>
      <c r="D53" s="566"/>
      <c r="E53" s="565"/>
      <c r="F53" s="474"/>
      <c r="G53" s="566"/>
      <c r="H53" s="566"/>
      <c r="I53" s="566"/>
      <c r="J53" s="566"/>
      <c r="K53" s="584"/>
      <c r="L53" s="580" t="s">
        <v>698</v>
      </c>
      <c r="M53" s="581" t="s">
        <v>1010</v>
      </c>
      <c r="N53" s="582" t="s">
        <v>71</v>
      </c>
      <c r="O53" s="583">
        <v>29000</v>
      </c>
      <c r="P53" s="579">
        <f t="shared" si="0"/>
        <v>203000</v>
      </c>
      <c r="Q53" s="581" t="s">
        <v>688</v>
      </c>
      <c r="R53" s="582" t="s">
        <v>71</v>
      </c>
      <c r="S53" s="583">
        <v>29000</v>
      </c>
      <c r="T53" s="579">
        <f t="shared" si="1"/>
        <v>87000</v>
      </c>
      <c r="U53" s="527">
        <f t="shared" si="4"/>
        <v>-116000</v>
      </c>
      <c r="V53" s="429"/>
    </row>
    <row r="54" spans="2:24" x14ac:dyDescent="0.25">
      <c r="B54" s="654"/>
      <c r="C54" s="566"/>
      <c r="D54" s="566"/>
      <c r="E54" s="565"/>
      <c r="F54" s="474"/>
      <c r="G54" s="566"/>
      <c r="H54" s="566"/>
      <c r="I54" s="566"/>
      <c r="J54" s="566"/>
      <c r="K54" s="584"/>
      <c r="L54" s="580" t="s">
        <v>699</v>
      </c>
      <c r="M54" s="581" t="s">
        <v>103</v>
      </c>
      <c r="N54" s="582" t="s">
        <v>71</v>
      </c>
      <c r="O54" s="583">
        <v>34000</v>
      </c>
      <c r="P54" s="579">
        <f t="shared" si="0"/>
        <v>340000</v>
      </c>
      <c r="Q54" s="581" t="s">
        <v>673</v>
      </c>
      <c r="R54" s="582" t="s">
        <v>71</v>
      </c>
      <c r="S54" s="583">
        <v>34000</v>
      </c>
      <c r="T54" s="579">
        <f t="shared" si="1"/>
        <v>204000</v>
      </c>
      <c r="U54" s="527">
        <f t="shared" si="4"/>
        <v>-136000</v>
      </c>
      <c r="V54" s="429"/>
    </row>
    <row r="55" spans="2:24" x14ac:dyDescent="0.25">
      <c r="B55" s="654"/>
      <c r="C55" s="566"/>
      <c r="D55" s="566"/>
      <c r="E55" s="565"/>
      <c r="F55" s="474"/>
      <c r="G55" s="566"/>
      <c r="H55" s="566"/>
      <c r="I55" s="566"/>
      <c r="J55" s="566"/>
      <c r="K55" s="584"/>
      <c r="L55" s="580" t="s">
        <v>700</v>
      </c>
      <c r="M55" s="581" t="s">
        <v>103</v>
      </c>
      <c r="N55" s="582" t="s">
        <v>71</v>
      </c>
      <c r="O55" s="583">
        <v>18000</v>
      </c>
      <c r="P55" s="579">
        <f t="shared" si="0"/>
        <v>180000</v>
      </c>
      <c r="Q55" s="581" t="s">
        <v>673</v>
      </c>
      <c r="R55" s="582" t="s">
        <v>71</v>
      </c>
      <c r="S55" s="583">
        <v>18000</v>
      </c>
      <c r="T55" s="579">
        <f t="shared" si="1"/>
        <v>108000</v>
      </c>
      <c r="U55" s="527">
        <f t="shared" si="4"/>
        <v>-72000</v>
      </c>
      <c r="V55" s="429"/>
    </row>
    <row r="56" spans="2:24" x14ac:dyDescent="0.25">
      <c r="B56" s="654"/>
      <c r="C56" s="566"/>
      <c r="D56" s="566"/>
      <c r="E56" s="565"/>
      <c r="F56" s="474"/>
      <c r="G56" s="566"/>
      <c r="H56" s="566"/>
      <c r="I56" s="566"/>
      <c r="J56" s="566"/>
      <c r="K56" s="584"/>
      <c r="L56" s="586" t="s">
        <v>701</v>
      </c>
      <c r="M56" s="587" t="s">
        <v>103</v>
      </c>
      <c r="N56" s="588" t="s">
        <v>0</v>
      </c>
      <c r="O56" s="589">
        <v>22000</v>
      </c>
      <c r="P56" s="579">
        <f t="shared" si="0"/>
        <v>220000</v>
      </c>
      <c r="Q56" s="587" t="s">
        <v>673</v>
      </c>
      <c r="R56" s="588" t="s">
        <v>0</v>
      </c>
      <c r="S56" s="589">
        <v>22000</v>
      </c>
      <c r="T56" s="579">
        <f t="shared" si="1"/>
        <v>132000</v>
      </c>
      <c r="U56" s="527">
        <f t="shared" si="4"/>
        <v>-88000</v>
      </c>
      <c r="V56" s="429"/>
    </row>
    <row r="57" spans="2:24" x14ac:dyDescent="0.25">
      <c r="B57" s="654"/>
      <c r="C57" s="566"/>
      <c r="D57" s="566"/>
      <c r="E57" s="565"/>
      <c r="F57" s="474"/>
      <c r="G57" s="566"/>
      <c r="H57" s="566"/>
      <c r="I57" s="566"/>
      <c r="J57" s="566"/>
      <c r="K57" s="566"/>
      <c r="L57" s="590"/>
      <c r="M57" s="591"/>
      <c r="N57" s="499"/>
      <c r="O57" s="477"/>
      <c r="P57" s="579"/>
      <c r="Q57" s="591"/>
      <c r="R57" s="499"/>
      <c r="S57" s="477"/>
      <c r="T57" s="579"/>
      <c r="U57" s="527">
        <f>SUM(T57)-P57</f>
        <v>0</v>
      </c>
      <c r="V57" s="429"/>
      <c r="X57" s="341">
        <v>1875000</v>
      </c>
    </row>
    <row r="58" spans="2:24" x14ac:dyDescent="0.25">
      <c r="B58" s="654">
        <v>1</v>
      </c>
      <c r="C58" s="564" t="s">
        <v>239</v>
      </c>
      <c r="D58" s="564" t="s">
        <v>84</v>
      </c>
      <c r="E58" s="568" t="s">
        <v>84</v>
      </c>
      <c r="F58" s="570" t="s">
        <v>99</v>
      </c>
      <c r="G58" s="566">
        <v>5</v>
      </c>
      <c r="H58" s="566">
        <v>2</v>
      </c>
      <c r="I58" s="566">
        <v>2</v>
      </c>
      <c r="J58" s="564" t="s">
        <v>97</v>
      </c>
      <c r="K58" s="566"/>
      <c r="L58" s="592" t="s">
        <v>57</v>
      </c>
      <c r="M58" s="591"/>
      <c r="N58" s="499"/>
      <c r="O58" s="477"/>
      <c r="P58" s="569">
        <f>P59</f>
        <v>1800000</v>
      </c>
      <c r="Q58" s="591"/>
      <c r="R58" s="499"/>
      <c r="S58" s="477"/>
      <c r="T58" s="569">
        <f>T59</f>
        <v>1800000</v>
      </c>
      <c r="U58" s="527"/>
      <c r="V58" s="429"/>
      <c r="X58" s="341">
        <v>5385256</v>
      </c>
    </row>
    <row r="59" spans="2:24" x14ac:dyDescent="0.25">
      <c r="B59" s="654">
        <v>1</v>
      </c>
      <c r="C59" s="564" t="s">
        <v>239</v>
      </c>
      <c r="D59" s="564" t="s">
        <v>84</v>
      </c>
      <c r="E59" s="568" t="s">
        <v>84</v>
      </c>
      <c r="F59" s="570" t="s">
        <v>99</v>
      </c>
      <c r="G59" s="566">
        <v>5</v>
      </c>
      <c r="H59" s="566">
        <v>2</v>
      </c>
      <c r="I59" s="566">
        <v>2</v>
      </c>
      <c r="J59" s="564" t="s">
        <v>97</v>
      </c>
      <c r="K59" s="564">
        <v>14</v>
      </c>
      <c r="L59" s="592" t="s">
        <v>161</v>
      </c>
      <c r="M59" s="591"/>
      <c r="N59" s="499"/>
      <c r="O59" s="477"/>
      <c r="P59" s="569">
        <f>P60</f>
        <v>1800000</v>
      </c>
      <c r="Q59" s="591"/>
      <c r="R59" s="499"/>
      <c r="S59" s="477"/>
      <c r="T59" s="569">
        <f>T60</f>
        <v>1800000</v>
      </c>
      <c r="U59" s="527"/>
      <c r="V59" s="429"/>
      <c r="X59" s="341">
        <v>1250000</v>
      </c>
    </row>
    <row r="60" spans="2:24" x14ac:dyDescent="0.25">
      <c r="B60" s="654"/>
      <c r="C60" s="566"/>
      <c r="D60" s="566"/>
      <c r="E60" s="565"/>
      <c r="F60" s="474"/>
      <c r="G60" s="566"/>
      <c r="H60" s="566"/>
      <c r="I60" s="566"/>
      <c r="J60" s="566"/>
      <c r="K60" s="566"/>
      <c r="L60" s="593" t="s">
        <v>702</v>
      </c>
      <c r="M60" s="594">
        <v>1</v>
      </c>
      <c r="N60" s="499" t="s">
        <v>67</v>
      </c>
      <c r="O60" s="477">
        <v>1800000</v>
      </c>
      <c r="P60" s="579">
        <f>O60*M60</f>
        <v>1800000</v>
      </c>
      <c r="Q60" s="594">
        <v>1</v>
      </c>
      <c r="R60" s="499" t="s">
        <v>67</v>
      </c>
      <c r="S60" s="477">
        <v>1800000</v>
      </c>
      <c r="T60" s="579">
        <f>S60*Q60</f>
        <v>1800000</v>
      </c>
      <c r="U60" s="527"/>
      <c r="V60" s="429"/>
    </row>
    <row r="61" spans="2:24" x14ac:dyDescent="0.25">
      <c r="B61" s="2495"/>
      <c r="C61" s="6"/>
      <c r="D61" s="6"/>
      <c r="E61" s="48"/>
      <c r="F61" s="48"/>
      <c r="G61" s="5"/>
      <c r="H61" s="5"/>
      <c r="I61" s="116"/>
      <c r="J61" s="6"/>
      <c r="K61" s="6"/>
      <c r="L61" s="595"/>
      <c r="M61" s="596"/>
      <c r="N61" s="596"/>
      <c r="O61" s="597"/>
      <c r="P61" s="598"/>
      <c r="Q61" s="537"/>
      <c r="R61" s="537"/>
      <c r="S61" s="538"/>
      <c r="T61" s="539"/>
      <c r="U61" s="599"/>
      <c r="V61" s="600"/>
      <c r="X61" s="464">
        <f>SUM(X57:X60)</f>
        <v>8510256</v>
      </c>
    </row>
    <row r="62" spans="2:24" ht="14.5" thickBot="1" x14ac:dyDescent="0.3">
      <c r="B62" s="2730" t="s">
        <v>15</v>
      </c>
      <c r="C62" s="2731"/>
      <c r="D62" s="2731"/>
      <c r="E62" s="2731"/>
      <c r="F62" s="2731"/>
      <c r="G62" s="2731"/>
      <c r="H62" s="2731"/>
      <c r="I62" s="2731"/>
      <c r="J62" s="2731"/>
      <c r="K62" s="2731"/>
      <c r="L62" s="2731"/>
      <c r="M62" s="2731"/>
      <c r="N62" s="2731"/>
      <c r="O62" s="2732"/>
      <c r="P62" s="436">
        <f>P28</f>
        <v>9300000</v>
      </c>
      <c r="Q62" s="2696"/>
      <c r="R62" s="2697"/>
      <c r="S62" s="2698"/>
      <c r="T62" s="437">
        <f>T28</f>
        <v>5550000</v>
      </c>
      <c r="U62" s="438">
        <f>SUM(U28:U60)</f>
        <v>-3192200</v>
      </c>
      <c r="V62" s="439">
        <f>U62/P62*100</f>
        <v>-34.324731182795695</v>
      </c>
    </row>
    <row r="63" spans="2:24" ht="13" thickTop="1" x14ac:dyDescent="0.25">
      <c r="B63" s="2699"/>
      <c r="C63" s="2700"/>
      <c r="D63" s="2700"/>
      <c r="E63" s="2700"/>
      <c r="F63" s="2700"/>
      <c r="G63" s="2700"/>
      <c r="H63" s="2700"/>
      <c r="I63" s="2700"/>
      <c r="J63" s="2700"/>
      <c r="K63" s="2700"/>
      <c r="L63" s="2700"/>
      <c r="M63" s="2700"/>
      <c r="N63" s="2700"/>
      <c r="O63" s="2700"/>
      <c r="P63" s="2700"/>
      <c r="Q63" s="2700"/>
      <c r="R63" s="2700"/>
      <c r="S63" s="2700"/>
      <c r="T63" s="2700"/>
      <c r="U63" s="2700"/>
      <c r="V63" s="2701"/>
    </row>
    <row r="64" spans="2:24" ht="12.75" customHeight="1" x14ac:dyDescent="0.25">
      <c r="B64" s="440"/>
      <c r="C64" s="20"/>
      <c r="D64" s="20"/>
      <c r="E64" s="20"/>
      <c r="F64" s="20"/>
      <c r="G64" s="20"/>
      <c r="H64" s="20"/>
      <c r="I64" s="20"/>
      <c r="J64" s="20"/>
      <c r="K64" s="20"/>
      <c r="L64" s="21"/>
      <c r="Q64" s="1645"/>
      <c r="S64" s="2702" t="str">
        <f>'KOM, SDM&amp;Listrik '!S45:U45</f>
        <v>Banda Aceh,               2020</v>
      </c>
      <c r="T64" s="2702"/>
      <c r="U64" s="2702"/>
      <c r="V64" s="19"/>
      <c r="W64" s="100"/>
    </row>
    <row r="65" spans="2:23" x14ac:dyDescent="0.25">
      <c r="B65" s="440"/>
      <c r="C65" s="20"/>
      <c r="D65" s="20"/>
      <c r="E65" s="20"/>
      <c r="F65" s="20"/>
      <c r="G65" s="20"/>
      <c r="H65" s="20"/>
      <c r="I65" s="20"/>
      <c r="J65" s="20"/>
      <c r="K65" s="20"/>
      <c r="L65" s="1635" t="str">
        <f>'KOM, SDM&amp;Listrik '!L46</f>
        <v>Mengesahkan,</v>
      </c>
      <c r="Q65" s="1645"/>
      <c r="S65" s="2703" t="str">
        <f>'KOM, SDM&amp;Listrik '!S46:U46</f>
        <v>Pengguna Anggaran</v>
      </c>
      <c r="T65" s="2703"/>
      <c r="U65" s="2703"/>
      <c r="V65" s="44"/>
      <c r="W65" s="22"/>
    </row>
    <row r="66" spans="2:23" ht="12.75" customHeight="1" x14ac:dyDescent="0.25">
      <c r="B66" s="440"/>
      <c r="C66" s="20"/>
      <c r="D66" s="20"/>
      <c r="E66" s="20"/>
      <c r="F66" s="20"/>
      <c r="G66" s="20"/>
      <c r="H66" s="20"/>
      <c r="I66" s="20"/>
      <c r="J66" s="20"/>
      <c r="K66" s="20"/>
      <c r="L66" s="1635" t="str">
        <f>'KOM, SDM&amp;Listrik '!L47</f>
        <v>Pejabat Pengelola Keuangan Daerah</v>
      </c>
      <c r="Q66" s="1645"/>
      <c r="S66" s="2703" t="str">
        <f>'KOM, SDM&amp;Listrik '!S47:U47</f>
        <v xml:space="preserve"> Satuan Kerja Perangkat Daerah </v>
      </c>
      <c r="T66" s="2703"/>
      <c r="U66" s="2703"/>
      <c r="V66" s="44"/>
      <c r="W66" s="22"/>
    </row>
    <row r="67" spans="2:23" x14ac:dyDescent="0.25">
      <c r="B67" s="440"/>
      <c r="C67" s="20"/>
      <c r="D67" s="20"/>
      <c r="E67" s="20"/>
      <c r="F67" s="20"/>
      <c r="G67" s="20"/>
      <c r="H67" s="20"/>
      <c r="I67" s="20"/>
      <c r="J67" s="20"/>
      <c r="K67" s="20"/>
      <c r="L67" s="1643"/>
      <c r="Q67" s="1645"/>
      <c r="S67" s="113"/>
      <c r="T67" s="101"/>
      <c r="U67" s="101"/>
      <c r="V67" s="111"/>
      <c r="W67" s="102"/>
    </row>
    <row r="68" spans="2:23" x14ac:dyDescent="0.25">
      <c r="B68" s="440"/>
      <c r="C68" s="20"/>
      <c r="D68" s="20"/>
      <c r="E68" s="20"/>
      <c r="F68" s="20"/>
      <c r="G68" s="20"/>
      <c r="H68" s="20"/>
      <c r="I68" s="20"/>
      <c r="J68" s="20"/>
      <c r="K68" s="20"/>
      <c r="L68" s="1643"/>
      <c r="Q68" s="1645"/>
      <c r="S68" s="113"/>
      <c r="T68" s="113"/>
      <c r="U68" s="113"/>
      <c r="V68" s="114"/>
      <c r="W68" s="103"/>
    </row>
    <row r="69" spans="2:23" x14ac:dyDescent="0.25">
      <c r="B69" s="440"/>
      <c r="C69" s="20"/>
      <c r="D69" s="20"/>
      <c r="E69" s="20"/>
      <c r="F69" s="20"/>
      <c r="G69" s="20"/>
      <c r="H69" s="20"/>
      <c r="I69" s="20"/>
      <c r="J69" s="20"/>
      <c r="K69" s="20"/>
      <c r="L69" s="99"/>
      <c r="Q69" s="1645"/>
      <c r="S69" s="113"/>
      <c r="T69" s="101"/>
      <c r="U69" s="101"/>
      <c r="V69" s="111"/>
      <c r="W69" s="102"/>
    </row>
    <row r="70" spans="2:23" ht="14" x14ac:dyDescent="0.3">
      <c r="B70" s="440"/>
      <c r="C70" s="20"/>
      <c r="D70" s="20"/>
      <c r="E70" s="20"/>
      <c r="F70" s="20"/>
      <c r="G70" s="20"/>
      <c r="H70" s="20"/>
      <c r="I70" s="20"/>
      <c r="J70" s="20"/>
      <c r="K70" s="20"/>
      <c r="L70" s="112" t="str">
        <f>'KOM, SDM&amp;Listrik '!L51</f>
        <v>M. Iqbal Rokan, S.STP.</v>
      </c>
      <c r="Q70" s="1645"/>
      <c r="S70" s="2704" t="str">
        <f>'KOM, SDM&amp;Listrik '!S51:U51</f>
        <v>Bustami, SH</v>
      </c>
      <c r="T70" s="2704"/>
      <c r="U70" s="2704"/>
      <c r="V70" s="45"/>
      <c r="W70" s="104"/>
    </row>
    <row r="71" spans="2:23" x14ac:dyDescent="0.25">
      <c r="B71" s="440"/>
      <c r="C71" s="20"/>
      <c r="D71" s="20"/>
      <c r="E71" s="20"/>
      <c r="F71" s="20"/>
      <c r="G71" s="20"/>
      <c r="H71" s="20"/>
      <c r="I71" s="20"/>
      <c r="J71" s="20"/>
      <c r="K71" s="20"/>
      <c r="L71" s="1635" t="str">
        <f>'KOM, SDM&amp;Listrik '!L52</f>
        <v>Nip. 19780505 199810 1 001</v>
      </c>
      <c r="Q71" s="1645"/>
      <c r="S71" s="2703" t="str">
        <f>'KOM, SDM&amp;Listrik '!S52:U52</f>
        <v>Pembina Utama Muda / Nip. 196308241987031004</v>
      </c>
      <c r="T71" s="2703"/>
      <c r="U71" s="2703"/>
      <c r="V71" s="44"/>
      <c r="W71" s="22"/>
    </row>
    <row r="72" spans="2:23" x14ac:dyDescent="0.25">
      <c r="B72" s="440"/>
      <c r="C72" s="20"/>
      <c r="D72" s="20"/>
      <c r="E72" s="20"/>
      <c r="F72" s="20"/>
      <c r="G72" s="20"/>
      <c r="H72" s="20"/>
      <c r="I72" s="20"/>
      <c r="J72" s="20"/>
      <c r="K72" s="20"/>
      <c r="L72" s="1635"/>
      <c r="Q72" s="1645"/>
      <c r="S72" s="1635"/>
      <c r="T72" s="1635"/>
      <c r="U72" s="1635"/>
      <c r="V72" s="441"/>
      <c r="W72" s="21"/>
    </row>
    <row r="73" spans="2:23" ht="14.25" customHeight="1" x14ac:dyDescent="0.25">
      <c r="B73" s="2705" t="s">
        <v>286</v>
      </c>
      <c r="C73" s="2706"/>
      <c r="D73" s="2706"/>
      <c r="E73" s="2706"/>
      <c r="F73" s="2706"/>
      <c r="G73" s="2706"/>
      <c r="H73" s="2706"/>
      <c r="I73" s="2706"/>
      <c r="J73" s="2706"/>
      <c r="K73" s="2706"/>
      <c r="L73" s="2706"/>
      <c r="M73" s="2707" t="s">
        <v>145</v>
      </c>
      <c r="N73" s="2708"/>
      <c r="O73" s="2708"/>
      <c r="P73" s="2708"/>
      <c r="Q73" s="2708"/>
      <c r="R73" s="2708"/>
      <c r="S73" s="2708"/>
      <c r="T73" s="2708"/>
      <c r="U73" s="2708"/>
      <c r="V73" s="2709"/>
    </row>
    <row r="74" spans="2:23" ht="14.25" customHeight="1" x14ac:dyDescent="0.3">
      <c r="B74" s="2710"/>
      <c r="C74" s="2711"/>
      <c r="D74" s="2711"/>
      <c r="E74" s="2711"/>
      <c r="F74" s="2711"/>
      <c r="G74" s="2711"/>
      <c r="H74" s="2711"/>
      <c r="I74" s="2711"/>
      <c r="J74" s="2711"/>
      <c r="K74" s="2711"/>
      <c r="L74" s="2712"/>
      <c r="M74" s="331" t="s">
        <v>142</v>
      </c>
      <c r="N74" s="2713"/>
      <c r="O74" s="2713"/>
      <c r="P74" s="2713"/>
      <c r="Q74" s="2714" t="s">
        <v>143</v>
      </c>
      <c r="R74" s="2714"/>
      <c r="S74" s="2714"/>
      <c r="T74" s="332" t="s">
        <v>144</v>
      </c>
      <c r="U74" s="2714" t="s">
        <v>146</v>
      </c>
      <c r="V74" s="2715"/>
    </row>
    <row r="75" spans="2:23" ht="14.25" customHeight="1" x14ac:dyDescent="0.3">
      <c r="B75" s="2716" t="s">
        <v>293</v>
      </c>
      <c r="C75" s="2717"/>
      <c r="D75" s="2717"/>
      <c r="E75" s="2717"/>
      <c r="F75" s="2717"/>
      <c r="G75" s="2717"/>
      <c r="H75" s="2717"/>
      <c r="I75" s="2717"/>
      <c r="J75" s="2717"/>
      <c r="K75" s="2717"/>
      <c r="L75" s="107">
        <v>0</v>
      </c>
      <c r="M75" s="118">
        <v>1</v>
      </c>
      <c r="N75" s="2718" t="str">
        <f>'KOM, SDM&amp;Listrik '!N56:P56</f>
        <v>Weri, SE. MA</v>
      </c>
      <c r="O75" s="2719"/>
      <c r="P75" s="2719"/>
      <c r="Q75" s="2720" t="str">
        <f>'KOM, SDM&amp;Listrik '!Q56:S56</f>
        <v>19640525 198903 1 026</v>
      </c>
      <c r="R75" s="2721"/>
      <c r="S75" s="2722"/>
      <c r="T75" s="109" t="s">
        <v>302</v>
      </c>
      <c r="U75" s="442" t="s">
        <v>287</v>
      </c>
      <c r="V75" s="443"/>
    </row>
    <row r="76" spans="2:23" ht="14" x14ac:dyDescent="0.3">
      <c r="B76" s="2716" t="s">
        <v>294</v>
      </c>
      <c r="C76" s="2717"/>
      <c r="D76" s="2717"/>
      <c r="E76" s="2717"/>
      <c r="F76" s="2717"/>
      <c r="G76" s="2717"/>
      <c r="H76" s="2717"/>
      <c r="I76" s="2717"/>
      <c r="J76" s="2717"/>
      <c r="K76" s="2717"/>
      <c r="L76" s="107">
        <v>0</v>
      </c>
      <c r="M76" s="118">
        <v>2</v>
      </c>
      <c r="N76" s="2723" t="str">
        <f>'KOM, SDM&amp;Listrik '!N57:P57</f>
        <v>Azmi, SH</v>
      </c>
      <c r="O76" s="2724"/>
      <c r="P76" s="2724"/>
      <c r="Q76" s="2720" t="str">
        <f>'KOM, SDM&amp;Listrik '!Q57:S57</f>
        <v>19680824 199903 1 004</v>
      </c>
      <c r="R76" s="2721"/>
      <c r="S76" s="2722"/>
      <c r="T76" s="109" t="s">
        <v>303</v>
      </c>
      <c r="U76" s="444"/>
      <c r="V76" s="445" t="s">
        <v>128</v>
      </c>
    </row>
    <row r="77" spans="2:23" ht="14" x14ac:dyDescent="0.3">
      <c r="B77" s="2716" t="s">
        <v>295</v>
      </c>
      <c r="C77" s="2717"/>
      <c r="D77" s="2717"/>
      <c r="E77" s="2717"/>
      <c r="F77" s="2717"/>
      <c r="G77" s="2717"/>
      <c r="H77" s="2717"/>
      <c r="I77" s="2717"/>
      <c r="J77" s="2717"/>
      <c r="K77" s="2717"/>
      <c r="L77" s="107">
        <v>0</v>
      </c>
      <c r="M77" s="117">
        <v>3</v>
      </c>
      <c r="N77" s="2723" t="str">
        <f>'KOM, SDM&amp;Listrik '!N58:P58</f>
        <v>Muhammad Syaifuddin Ambia, ST, MT</v>
      </c>
      <c r="O77" s="2724"/>
      <c r="P77" s="2724"/>
      <c r="Q77" s="2720" t="str">
        <f>'KOM, SDM&amp;Listrik '!Q58:S58</f>
        <v>19741010 200604 1 003</v>
      </c>
      <c r="R77" s="2721"/>
      <c r="S77" s="2722"/>
      <c r="T77" s="109" t="s">
        <v>304</v>
      </c>
      <c r="U77" s="446" t="s">
        <v>292</v>
      </c>
      <c r="V77" s="443"/>
    </row>
    <row r="78" spans="2:23" ht="15" customHeight="1" x14ac:dyDescent="0.3">
      <c r="B78" s="2716" t="s">
        <v>296</v>
      </c>
      <c r="C78" s="2717"/>
      <c r="D78" s="2717"/>
      <c r="E78" s="2717"/>
      <c r="F78" s="2717"/>
      <c r="G78" s="2717"/>
      <c r="H78" s="2717"/>
      <c r="I78" s="2717"/>
      <c r="J78" s="2717"/>
      <c r="K78" s="2717"/>
      <c r="L78" s="107">
        <v>0</v>
      </c>
      <c r="M78" s="118">
        <v>4</v>
      </c>
      <c r="N78" s="2723" t="str">
        <f>'KOM, SDM&amp;Listrik '!N59:P59</f>
        <v>Basri, SE, M.Si</v>
      </c>
      <c r="O78" s="2724"/>
      <c r="P78" s="2724"/>
      <c r="Q78" s="2720" t="str">
        <f>'KOM, SDM&amp;Listrik '!Q59:S59</f>
        <v>19691213 199403 1 002</v>
      </c>
      <c r="R78" s="2721"/>
      <c r="S78" s="2722"/>
      <c r="T78" s="109" t="s">
        <v>305</v>
      </c>
      <c r="U78" s="444"/>
      <c r="V78" s="445" t="s">
        <v>288</v>
      </c>
    </row>
    <row r="79" spans="2:23" ht="14" x14ac:dyDescent="0.3">
      <c r="B79" s="2716" t="s">
        <v>297</v>
      </c>
      <c r="C79" s="2717"/>
      <c r="D79" s="2717"/>
      <c r="E79" s="2717"/>
      <c r="F79" s="2717"/>
      <c r="G79" s="2717"/>
      <c r="H79" s="2717"/>
      <c r="I79" s="2717"/>
      <c r="J79" s="2717"/>
      <c r="K79" s="2717"/>
      <c r="L79" s="108">
        <f>SUM(L75:L78)</f>
        <v>0</v>
      </c>
      <c r="M79" s="105">
        <v>5</v>
      </c>
      <c r="N79" s="2723" t="str">
        <f>'KOM, SDM&amp;Listrik '!N60:P60</f>
        <v>Dewi Shinta Reza, SE. Ak</v>
      </c>
      <c r="O79" s="2724"/>
      <c r="P79" s="2724"/>
      <c r="Q79" s="2720" t="str">
        <f>'KOM, SDM&amp;Listrik '!Q60:S60</f>
        <v>19750630 200212 2 003</v>
      </c>
      <c r="R79" s="2721"/>
      <c r="S79" s="2722"/>
      <c r="T79" s="109" t="s">
        <v>306</v>
      </c>
      <c r="U79" s="446" t="s">
        <v>289</v>
      </c>
      <c r="V79" s="443"/>
    </row>
    <row r="80" spans="2:23" ht="13.5" customHeight="1" x14ac:dyDescent="0.3">
      <c r="B80" s="2710"/>
      <c r="C80" s="2711"/>
      <c r="D80" s="2711"/>
      <c r="E80" s="2711"/>
      <c r="F80" s="2711"/>
      <c r="G80" s="2711"/>
      <c r="H80" s="2711"/>
      <c r="I80" s="2711"/>
      <c r="J80" s="2711"/>
      <c r="K80" s="2711"/>
      <c r="L80" s="2712"/>
      <c r="M80" s="105">
        <v>6</v>
      </c>
      <c r="N80" s="2718" t="str">
        <f>'KOM, SDM&amp;Listrik '!N61:P61</f>
        <v>Harisman, S.STP, M.Ec.Dev</v>
      </c>
      <c r="O80" s="2719"/>
      <c r="P80" s="2719"/>
      <c r="Q80" s="2720" t="str">
        <f>'KOM, SDM&amp;Listrik '!Q61:S61</f>
        <v>19830101 200112 1 003</v>
      </c>
      <c r="R80" s="2721"/>
      <c r="S80" s="2722"/>
      <c r="T80" s="109" t="s">
        <v>307</v>
      </c>
      <c r="U80" s="444"/>
      <c r="V80" s="445" t="s">
        <v>290</v>
      </c>
    </row>
    <row r="81" spans="2:22" ht="14.5" thickBot="1" x14ac:dyDescent="0.35">
      <c r="B81" s="2725"/>
      <c r="C81" s="2726"/>
      <c r="D81" s="2726"/>
      <c r="E81" s="2726"/>
      <c r="F81" s="2726"/>
      <c r="G81" s="2726"/>
      <c r="H81" s="2726"/>
      <c r="I81" s="2726"/>
      <c r="J81" s="2726"/>
      <c r="K81" s="2726"/>
      <c r="L81" s="2727"/>
      <c r="M81" s="106">
        <v>7</v>
      </c>
      <c r="N81" s="2728" t="str">
        <f>'KOM, SDM&amp;Listrik '!N62:P62</f>
        <v>Alriandi, S.STP, M.Si</v>
      </c>
      <c r="O81" s="2729"/>
      <c r="P81" s="2729"/>
      <c r="Q81" s="2733" t="str">
        <f>'KOM, SDM&amp;Listrik '!Q62:S62</f>
        <v>19830308 200112 1 001</v>
      </c>
      <c r="R81" s="2734"/>
      <c r="S81" s="2735"/>
      <c r="T81" s="110" t="s">
        <v>308</v>
      </c>
      <c r="U81" s="447" t="s">
        <v>291</v>
      </c>
      <c r="V81" s="448"/>
    </row>
    <row r="82" spans="2:22" ht="13" thickTop="1" x14ac:dyDescent="0.25">
      <c r="B82" s="342"/>
      <c r="C82" s="342"/>
      <c r="D82" s="342"/>
      <c r="E82" s="342"/>
      <c r="F82" s="342"/>
      <c r="G82" s="342"/>
      <c r="H82" s="342"/>
      <c r="I82" s="342"/>
      <c r="J82" s="342"/>
      <c r="K82" s="342"/>
      <c r="L82" s="342"/>
      <c r="M82" s="342"/>
      <c r="N82" s="342"/>
      <c r="O82" s="342"/>
      <c r="P82" s="342"/>
    </row>
    <row r="83" spans="2:22" x14ac:dyDescent="0.25">
      <c r="B83" s="342"/>
      <c r="C83" s="342"/>
      <c r="D83" s="342"/>
      <c r="E83" s="342"/>
      <c r="F83" s="342"/>
      <c r="G83" s="342"/>
      <c r="H83" s="342"/>
      <c r="I83" s="342"/>
      <c r="J83" s="342"/>
      <c r="K83" s="342"/>
      <c r="L83" s="342"/>
      <c r="M83" s="342"/>
      <c r="N83" s="342"/>
      <c r="O83" s="342"/>
      <c r="P83" s="342"/>
    </row>
    <row r="84" spans="2:22" x14ac:dyDescent="0.25">
      <c r="B84" s="342"/>
      <c r="C84" s="342"/>
      <c r="D84" s="342"/>
      <c r="E84" s="342"/>
      <c r="F84" s="342"/>
      <c r="G84" s="342"/>
      <c r="H84" s="342"/>
      <c r="I84" s="342"/>
      <c r="J84" s="342"/>
      <c r="K84" s="342"/>
      <c r="L84" s="342"/>
      <c r="M84" s="342"/>
      <c r="N84" s="342"/>
      <c r="O84" s="342"/>
      <c r="P84" s="342"/>
    </row>
    <row r="85" spans="2:22" x14ac:dyDescent="0.25">
      <c r="B85" s="342"/>
      <c r="C85" s="342"/>
      <c r="D85" s="342"/>
      <c r="E85" s="342"/>
      <c r="F85" s="342"/>
      <c r="G85" s="342"/>
      <c r="H85" s="342"/>
      <c r="I85" s="342"/>
      <c r="J85" s="342"/>
      <c r="K85" s="342"/>
      <c r="L85" s="342"/>
      <c r="M85" s="342"/>
      <c r="N85" s="342"/>
      <c r="O85" s="342"/>
      <c r="P85" s="342"/>
    </row>
    <row r="86" spans="2:22" x14ac:dyDescent="0.25">
      <c r="B86" s="342"/>
      <c r="C86" s="342"/>
      <c r="D86" s="342"/>
      <c r="E86" s="342"/>
      <c r="F86" s="342"/>
      <c r="G86" s="342"/>
      <c r="H86" s="342"/>
      <c r="I86" s="342"/>
      <c r="J86" s="342"/>
      <c r="K86" s="342"/>
      <c r="L86" s="342"/>
      <c r="M86" s="342"/>
      <c r="N86" s="342"/>
      <c r="O86" s="342"/>
      <c r="P86" s="342"/>
    </row>
    <row r="87" spans="2:22" x14ac:dyDescent="0.25">
      <c r="B87" s="342"/>
      <c r="C87" s="342"/>
      <c r="D87" s="342"/>
      <c r="E87" s="342"/>
      <c r="F87" s="342"/>
      <c r="G87" s="342"/>
      <c r="H87" s="342"/>
      <c r="I87" s="342"/>
      <c r="J87" s="342"/>
      <c r="K87" s="342"/>
      <c r="L87" s="342"/>
      <c r="M87" s="342"/>
      <c r="N87" s="342"/>
      <c r="O87" s="342"/>
      <c r="P87" s="342"/>
    </row>
    <row r="88" spans="2:22" x14ac:dyDescent="0.25">
      <c r="B88" s="342"/>
      <c r="C88" s="342"/>
      <c r="D88" s="342"/>
      <c r="E88" s="342"/>
      <c r="F88" s="342"/>
      <c r="G88" s="342"/>
      <c r="H88" s="342"/>
      <c r="I88" s="342"/>
      <c r="J88" s="342"/>
      <c r="K88" s="342"/>
      <c r="L88" s="342"/>
      <c r="M88" s="342"/>
      <c r="N88" s="342"/>
      <c r="O88" s="342"/>
      <c r="P88" s="342"/>
    </row>
    <row r="89" spans="2:22" x14ac:dyDescent="0.25">
      <c r="B89" s="342"/>
      <c r="C89" s="342"/>
      <c r="D89" s="342"/>
      <c r="E89" s="342"/>
      <c r="F89" s="342"/>
      <c r="G89" s="342"/>
      <c r="H89" s="342"/>
      <c r="I89" s="342"/>
      <c r="J89" s="342"/>
      <c r="K89" s="342"/>
      <c r="L89" s="342"/>
      <c r="M89" s="342"/>
      <c r="N89" s="342"/>
      <c r="O89" s="342"/>
      <c r="P89" s="342"/>
    </row>
    <row r="90" spans="2:22" x14ac:dyDescent="0.25">
      <c r="B90" s="342"/>
      <c r="C90" s="342"/>
      <c r="D90" s="342"/>
      <c r="E90" s="342"/>
      <c r="F90" s="342"/>
      <c r="G90" s="342"/>
      <c r="H90" s="342"/>
      <c r="I90" s="342"/>
      <c r="J90" s="342"/>
      <c r="K90" s="342"/>
      <c r="L90" s="342"/>
      <c r="M90" s="342"/>
      <c r="N90" s="342"/>
      <c r="O90" s="342"/>
      <c r="P90" s="342"/>
    </row>
    <row r="91" spans="2:22" x14ac:dyDescent="0.25">
      <c r="B91" s="342"/>
      <c r="C91" s="342"/>
      <c r="D91" s="342"/>
      <c r="E91" s="342"/>
      <c r="F91" s="342"/>
      <c r="G91" s="342"/>
      <c r="H91" s="342"/>
      <c r="I91" s="342"/>
      <c r="J91" s="342"/>
      <c r="K91" s="342"/>
      <c r="L91" s="342"/>
      <c r="M91" s="342"/>
      <c r="N91" s="342"/>
      <c r="O91" s="342"/>
      <c r="P91" s="342"/>
    </row>
    <row r="92" spans="2:22" x14ac:dyDescent="0.25">
      <c r="B92" s="342"/>
      <c r="C92" s="342"/>
      <c r="D92" s="342"/>
      <c r="E92" s="342"/>
      <c r="F92" s="342"/>
      <c r="G92" s="342"/>
      <c r="H92" s="342"/>
      <c r="I92" s="342"/>
      <c r="J92" s="342"/>
      <c r="K92" s="342"/>
      <c r="L92" s="342"/>
      <c r="M92" s="342"/>
      <c r="N92" s="342"/>
      <c r="O92" s="342"/>
      <c r="P92" s="342"/>
    </row>
    <row r="93" spans="2:22" x14ac:dyDescent="0.25">
      <c r="B93" s="342"/>
      <c r="C93" s="342"/>
      <c r="D93" s="342"/>
      <c r="E93" s="342"/>
      <c r="F93" s="342"/>
      <c r="G93" s="342"/>
      <c r="H93" s="342"/>
      <c r="I93" s="342"/>
      <c r="J93" s="342"/>
      <c r="K93" s="342"/>
      <c r="L93" s="342"/>
      <c r="M93" s="342"/>
      <c r="N93" s="342"/>
      <c r="O93" s="342"/>
      <c r="P93" s="342"/>
    </row>
    <row r="94" spans="2:22" x14ac:dyDescent="0.25">
      <c r="B94" s="342"/>
      <c r="C94" s="342"/>
      <c r="D94" s="342"/>
      <c r="E94" s="342"/>
      <c r="F94" s="342"/>
      <c r="G94" s="342"/>
      <c r="H94" s="342"/>
      <c r="I94" s="342"/>
      <c r="J94" s="342"/>
      <c r="K94" s="342"/>
      <c r="L94" s="342"/>
      <c r="M94" s="342"/>
      <c r="N94" s="342"/>
      <c r="O94" s="342"/>
      <c r="P94" s="342"/>
    </row>
    <row r="95" spans="2:22" x14ac:dyDescent="0.25">
      <c r="B95" s="342"/>
      <c r="C95" s="342"/>
      <c r="D95" s="342"/>
      <c r="E95" s="342"/>
      <c r="F95" s="342"/>
      <c r="G95" s="342"/>
      <c r="H95" s="342"/>
      <c r="I95" s="342"/>
      <c r="J95" s="342"/>
      <c r="K95" s="342"/>
      <c r="L95" s="342"/>
      <c r="M95" s="342"/>
      <c r="N95" s="342"/>
      <c r="O95" s="342"/>
      <c r="P95" s="342"/>
    </row>
    <row r="96" spans="2:22" x14ac:dyDescent="0.25">
      <c r="B96" s="342"/>
      <c r="C96" s="342"/>
      <c r="D96" s="342"/>
      <c r="E96" s="342"/>
      <c r="F96" s="342"/>
      <c r="G96" s="342"/>
      <c r="H96" s="342"/>
      <c r="I96" s="342"/>
      <c r="J96" s="342"/>
      <c r="K96" s="342"/>
      <c r="L96" s="342"/>
      <c r="M96" s="342"/>
      <c r="N96" s="342"/>
      <c r="O96" s="342"/>
      <c r="P96" s="342"/>
    </row>
    <row r="97" spans="2:16" x14ac:dyDescent="0.25">
      <c r="B97" s="342"/>
      <c r="C97" s="342"/>
      <c r="D97" s="342"/>
      <c r="E97" s="342"/>
      <c r="F97" s="342"/>
      <c r="G97" s="342"/>
      <c r="H97" s="342"/>
      <c r="I97" s="342"/>
      <c r="J97" s="342"/>
      <c r="K97" s="342"/>
      <c r="L97" s="342"/>
      <c r="M97" s="342"/>
      <c r="N97" s="342"/>
      <c r="O97" s="342"/>
      <c r="P97" s="342"/>
    </row>
    <row r="98" spans="2:16" x14ac:dyDescent="0.25">
      <c r="B98" s="342"/>
      <c r="C98" s="342"/>
      <c r="D98" s="342"/>
      <c r="E98" s="342"/>
      <c r="F98" s="342"/>
      <c r="G98" s="342"/>
      <c r="H98" s="342"/>
      <c r="I98" s="342"/>
      <c r="J98" s="342"/>
      <c r="K98" s="342"/>
      <c r="L98" s="342"/>
      <c r="M98" s="342"/>
      <c r="N98" s="342"/>
      <c r="O98" s="342"/>
      <c r="P98" s="342"/>
    </row>
  </sheetData>
  <mergeCells count="98">
    <mergeCell ref="J2:R2"/>
    <mergeCell ref="S2:T2"/>
    <mergeCell ref="U2:V2"/>
    <mergeCell ref="J3:R3"/>
    <mergeCell ref="S3:T3"/>
    <mergeCell ref="U3:V3"/>
    <mergeCell ref="B8:K8"/>
    <mergeCell ref="M8:V8"/>
    <mergeCell ref="B9:K9"/>
    <mergeCell ref="M9:V9"/>
    <mergeCell ref="B10:K10"/>
    <mergeCell ref="M10:V10"/>
    <mergeCell ref="B4:V4"/>
    <mergeCell ref="B5:V5"/>
    <mergeCell ref="B6:K6"/>
    <mergeCell ref="M6:V6"/>
    <mergeCell ref="B7:K7"/>
    <mergeCell ref="M7:V7"/>
    <mergeCell ref="B11:K11"/>
    <mergeCell ref="M11:V11"/>
    <mergeCell ref="B12:L12"/>
    <mergeCell ref="M12:V12"/>
    <mergeCell ref="B13:V13"/>
    <mergeCell ref="B14:K15"/>
    <mergeCell ref="L14:P14"/>
    <mergeCell ref="Q14:V14"/>
    <mergeCell ref="M15:P15"/>
    <mergeCell ref="Q15:S15"/>
    <mergeCell ref="T15:V15"/>
    <mergeCell ref="S24:S26"/>
    <mergeCell ref="T16:V16"/>
    <mergeCell ref="B17:K17"/>
    <mergeCell ref="M17:P17"/>
    <mergeCell ref="Q17:S17"/>
    <mergeCell ref="T17:V17"/>
    <mergeCell ref="T18:V18"/>
    <mergeCell ref="B19:K19"/>
    <mergeCell ref="M19:P19"/>
    <mergeCell ref="Q19:S19"/>
    <mergeCell ref="T19:V19"/>
    <mergeCell ref="B16:K16"/>
    <mergeCell ref="M16:P16"/>
    <mergeCell ref="Q16:S16"/>
    <mergeCell ref="B18:K18"/>
    <mergeCell ref="M18:P18"/>
    <mergeCell ref="Q18:S18"/>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U74:V74"/>
    <mergeCell ref="B75:K75"/>
    <mergeCell ref="N75:P75"/>
    <mergeCell ref="Q75:S75"/>
    <mergeCell ref="S64:U64"/>
    <mergeCell ref="S65:U65"/>
    <mergeCell ref="S66:U66"/>
    <mergeCell ref="S70:U70"/>
    <mergeCell ref="S71:U71"/>
    <mergeCell ref="B73:L73"/>
    <mergeCell ref="M73:V73"/>
    <mergeCell ref="B74:L74"/>
    <mergeCell ref="N74:P74"/>
    <mergeCell ref="Q74:S74"/>
    <mergeCell ref="B27:K27"/>
    <mergeCell ref="B62:O62"/>
    <mergeCell ref="Q62:S62"/>
    <mergeCell ref="B63:V63"/>
    <mergeCell ref="B80:L80"/>
    <mergeCell ref="N80:P80"/>
    <mergeCell ref="Q80:S80"/>
    <mergeCell ref="B76:K76"/>
    <mergeCell ref="N76:P76"/>
    <mergeCell ref="Q76:S76"/>
    <mergeCell ref="B77:K77"/>
    <mergeCell ref="N77:P77"/>
    <mergeCell ref="Q77:S77"/>
    <mergeCell ref="B81:L81"/>
    <mergeCell ref="N81:P81"/>
    <mergeCell ref="Q81:S81"/>
    <mergeCell ref="B78:K78"/>
    <mergeCell ref="N78:P78"/>
    <mergeCell ref="Q78:S78"/>
    <mergeCell ref="B79:K79"/>
    <mergeCell ref="N79:P79"/>
    <mergeCell ref="Q79:S79"/>
  </mergeCells>
  <pageMargins left="0.511811023622047" right="1.0255905510000001" top="0.511811023622047" bottom="0.47244094488188998" header="0.31496062992126" footer="0.31496062992126"/>
  <pageSetup paperSize="5" scale="72" orientation="landscape" horizontalDpi="4294967293" verticalDpi="4294967293" r:id="rId1"/>
  <rowBreaks count="1" manualBreakCount="1">
    <brk id="49"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110"/>
  <sheetViews>
    <sheetView view="pageBreakPreview" zoomScale="64" zoomScaleNormal="70" zoomScaleSheetLayoutView="102" workbookViewId="0">
      <selection activeCell="B21" sqref="B21:V21"/>
    </sheetView>
  </sheetViews>
  <sheetFormatPr defaultColWidth="8.7265625" defaultRowHeight="12.5" x14ac:dyDescent="0.25"/>
  <cols>
    <col min="1" max="1" width="3.1796875" style="341" customWidth="1"/>
    <col min="2"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5" style="341" customWidth="1"/>
    <col min="17" max="17" width="9" style="341" customWidth="1"/>
    <col min="18" max="18" width="8" style="341" customWidth="1"/>
    <col min="19" max="19" width="15.1796875" style="341" customWidth="1"/>
    <col min="20" max="20" width="25.4531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884" t="s">
        <v>344</v>
      </c>
      <c r="T3" s="2672"/>
      <c r="U3" s="2885"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1632"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1633"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1644"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245</v>
      </c>
      <c r="M9" s="2866" t="s">
        <v>75</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L10" s="1645"/>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L11" s="1645"/>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1636"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82"/>
      <c r="L16" s="521" t="s">
        <v>481</v>
      </c>
      <c r="M16" s="2827" t="str">
        <f>L16</f>
        <v>Persentase alat tulis kantor yang disediakan</v>
      </c>
      <c r="N16" s="2828"/>
      <c r="O16" s="2828"/>
      <c r="P16" s="2829"/>
      <c r="Q16" s="2821">
        <v>1</v>
      </c>
      <c r="R16" s="2822"/>
      <c r="S16" s="2822"/>
      <c r="T16" s="2872">
        <f>Q16</f>
        <v>1</v>
      </c>
      <c r="U16" s="2873"/>
      <c r="V16" s="2874"/>
      <c r="W16" s="522"/>
      <c r="X16" s="523"/>
    </row>
    <row r="17" spans="2:22" ht="14" x14ac:dyDescent="0.3">
      <c r="B17" s="2817" t="s">
        <v>135</v>
      </c>
      <c r="C17" s="2818"/>
      <c r="D17" s="2818"/>
      <c r="E17" s="2818"/>
      <c r="F17" s="2818"/>
      <c r="G17" s="2818"/>
      <c r="H17" s="2818"/>
      <c r="I17" s="2818"/>
      <c r="J17" s="2818"/>
      <c r="K17" s="2882"/>
      <c r="L17" s="524" t="s">
        <v>430</v>
      </c>
      <c r="M17" s="2838" t="str">
        <f>L17</f>
        <v>Jumlah Dana Yang Dibutuhkan</v>
      </c>
      <c r="N17" s="2838"/>
      <c r="O17" s="2838"/>
      <c r="P17" s="2838"/>
      <c r="Q17" s="2839">
        <f>P28</f>
        <v>21510250</v>
      </c>
      <c r="R17" s="2840"/>
      <c r="S17" s="2841"/>
      <c r="T17" s="2842">
        <f>T28</f>
        <v>10755125</v>
      </c>
      <c r="U17" s="2842"/>
      <c r="V17" s="2843"/>
    </row>
    <row r="18" spans="2:22" ht="14" x14ac:dyDescent="0.25">
      <c r="B18" s="2834" t="s">
        <v>136</v>
      </c>
      <c r="C18" s="2835"/>
      <c r="D18" s="2835"/>
      <c r="E18" s="2835"/>
      <c r="F18" s="2835"/>
      <c r="G18" s="2835"/>
      <c r="H18" s="2835"/>
      <c r="I18" s="2835"/>
      <c r="J18" s="2835"/>
      <c r="K18" s="2883"/>
      <c r="L18" s="521" t="s">
        <v>482</v>
      </c>
      <c r="M18" s="2820" t="str">
        <f>L18</f>
        <v>Jumlah jenis Alat Tulis Kantor yang disediakan</v>
      </c>
      <c r="N18" s="2820"/>
      <c r="O18" s="2820"/>
      <c r="P18" s="2820"/>
      <c r="Q18" s="2616" t="s">
        <v>540</v>
      </c>
      <c r="R18" s="2616"/>
      <c r="S18" s="2616"/>
      <c r="T18" s="2616" t="str">
        <f>Q18</f>
        <v>38 jenis</v>
      </c>
      <c r="U18" s="2616"/>
      <c r="V18" s="2837"/>
    </row>
    <row r="19" spans="2:22" ht="25.5" x14ac:dyDescent="0.3">
      <c r="B19" s="2817" t="s">
        <v>137</v>
      </c>
      <c r="C19" s="2818"/>
      <c r="D19" s="2818"/>
      <c r="E19" s="2818"/>
      <c r="F19" s="2818"/>
      <c r="G19" s="2818"/>
      <c r="H19" s="2818"/>
      <c r="I19" s="2818"/>
      <c r="J19" s="2818"/>
      <c r="K19" s="2882"/>
      <c r="L19" s="525" t="s">
        <v>478</v>
      </c>
      <c r="M19" s="2820" t="str">
        <f>L19</f>
        <v>Tingkat pelayanan administrasi perkantoran yang maksimal</v>
      </c>
      <c r="N19" s="2820"/>
      <c r="O19" s="2820"/>
      <c r="P19" s="2820"/>
      <c r="Q19" s="2821">
        <v>1</v>
      </c>
      <c r="R19" s="2822"/>
      <c r="S19" s="2822"/>
      <c r="T19" s="2821">
        <f>Q19</f>
        <v>1</v>
      </c>
      <c r="U19" s="2822"/>
      <c r="V19" s="2823"/>
    </row>
    <row r="20" spans="2:22" ht="14.25" customHeight="1" x14ac:dyDescent="0.3">
      <c r="B20" s="2824" t="s">
        <v>178</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876"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876"/>
      <c r="M23" s="2640" t="s">
        <v>125</v>
      </c>
      <c r="N23" s="2641"/>
      <c r="O23" s="2642"/>
      <c r="P23" s="1645"/>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876"/>
      <c r="M24" s="2647" t="s">
        <v>127</v>
      </c>
      <c r="N24" s="2687" t="s">
        <v>8</v>
      </c>
      <c r="O24" s="2687" t="s">
        <v>129</v>
      </c>
      <c r="P24" s="115" t="s">
        <v>122</v>
      </c>
      <c r="Q24" s="2878" t="s">
        <v>127</v>
      </c>
      <c r="R24" s="2880" t="s">
        <v>8</v>
      </c>
      <c r="S24" s="2880" t="s">
        <v>129</v>
      </c>
      <c r="T24" s="89" t="s">
        <v>122</v>
      </c>
      <c r="U24" s="2600"/>
      <c r="V24" s="2646"/>
    </row>
    <row r="25" spans="2:22" ht="12.75" customHeight="1" x14ac:dyDescent="0.25">
      <c r="B25" s="2681"/>
      <c r="C25" s="2595"/>
      <c r="D25" s="2595"/>
      <c r="E25" s="2595"/>
      <c r="F25" s="2595"/>
      <c r="G25" s="2595"/>
      <c r="H25" s="2595"/>
      <c r="I25" s="2595"/>
      <c r="J25" s="2595"/>
      <c r="K25" s="2596"/>
      <c r="L25" s="2876"/>
      <c r="M25" s="2876"/>
      <c r="N25" s="2877"/>
      <c r="O25" s="2877"/>
      <c r="P25" s="115" t="s">
        <v>123</v>
      </c>
      <c r="Q25" s="2879"/>
      <c r="R25" s="2881"/>
      <c r="S25" s="2881"/>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1634" t="s">
        <v>7</v>
      </c>
      <c r="Q27" s="147">
        <v>7</v>
      </c>
      <c r="R27" s="147">
        <v>8</v>
      </c>
      <c r="S27" s="86">
        <v>9</v>
      </c>
      <c r="T27" s="90" t="s">
        <v>275</v>
      </c>
      <c r="U27" s="1337" t="s">
        <v>274</v>
      </c>
      <c r="V27" s="93">
        <v>12</v>
      </c>
    </row>
    <row r="28" spans="2:22" ht="13" thickTop="1" x14ac:dyDescent="0.25">
      <c r="B28" s="486">
        <v>1</v>
      </c>
      <c r="C28" s="487" t="s">
        <v>239</v>
      </c>
      <c r="D28" s="487" t="s">
        <v>84</v>
      </c>
      <c r="E28" s="488"/>
      <c r="F28" s="601"/>
      <c r="G28" s="489">
        <v>5</v>
      </c>
      <c r="H28" s="489">
        <v>2</v>
      </c>
      <c r="I28" s="489"/>
      <c r="J28" s="489"/>
      <c r="K28" s="489"/>
      <c r="L28" s="490" t="s">
        <v>54</v>
      </c>
      <c r="M28" s="553"/>
      <c r="N28" s="553"/>
      <c r="O28" s="554"/>
      <c r="P28" s="555">
        <f>P29</f>
        <v>21510250</v>
      </c>
      <c r="Q28" s="553"/>
      <c r="R28" s="553"/>
      <c r="S28" s="554"/>
      <c r="T28" s="555">
        <f>T29</f>
        <v>10755125</v>
      </c>
      <c r="U28" s="526"/>
      <c r="V28" s="425"/>
    </row>
    <row r="29" spans="2:22" x14ac:dyDescent="0.25">
      <c r="B29" s="486">
        <v>1</v>
      </c>
      <c r="C29" s="487" t="s">
        <v>239</v>
      </c>
      <c r="D29" s="487" t="s">
        <v>84</v>
      </c>
      <c r="E29" s="493" t="s">
        <v>84</v>
      </c>
      <c r="F29" s="473"/>
      <c r="G29" s="489"/>
      <c r="H29" s="489"/>
      <c r="I29" s="489"/>
      <c r="J29" s="489"/>
      <c r="K29" s="489"/>
      <c r="L29" s="494" t="s">
        <v>110</v>
      </c>
      <c r="M29" s="491"/>
      <c r="N29" s="491"/>
      <c r="O29" s="492"/>
      <c r="P29" s="556">
        <f>P30</f>
        <v>21510250</v>
      </c>
      <c r="Q29" s="491"/>
      <c r="R29" s="491"/>
      <c r="S29" s="492"/>
      <c r="T29" s="556">
        <f>T30</f>
        <v>10755125</v>
      </c>
      <c r="U29" s="527"/>
      <c r="V29" s="429"/>
    </row>
    <row r="30" spans="2:22" x14ac:dyDescent="0.25">
      <c r="B30" s="486">
        <v>1</v>
      </c>
      <c r="C30" s="487" t="s">
        <v>239</v>
      </c>
      <c r="D30" s="487" t="s">
        <v>84</v>
      </c>
      <c r="E30" s="493" t="s">
        <v>84</v>
      </c>
      <c r="F30" s="496" t="s">
        <v>103</v>
      </c>
      <c r="G30" s="489"/>
      <c r="H30" s="489"/>
      <c r="I30" s="489"/>
      <c r="J30" s="489"/>
      <c r="K30" s="487"/>
      <c r="L30" s="494" t="s">
        <v>104</v>
      </c>
      <c r="M30" s="491"/>
      <c r="N30" s="491"/>
      <c r="O30" s="492"/>
      <c r="P30" s="556">
        <f>P32</f>
        <v>21510250</v>
      </c>
      <c r="Q30" s="491"/>
      <c r="R30" s="491"/>
      <c r="S30" s="492"/>
      <c r="T30" s="556">
        <f>T32</f>
        <v>10755125</v>
      </c>
      <c r="U30" s="527"/>
      <c r="V30" s="429"/>
    </row>
    <row r="31" spans="2:22" x14ac:dyDescent="0.25">
      <c r="B31" s="486"/>
      <c r="C31" s="487"/>
      <c r="D31" s="487"/>
      <c r="E31" s="493"/>
      <c r="F31" s="496"/>
      <c r="G31" s="489"/>
      <c r="H31" s="489"/>
      <c r="I31" s="489"/>
      <c r="J31" s="489"/>
      <c r="K31" s="487"/>
      <c r="L31" s="494"/>
      <c r="M31" s="491"/>
      <c r="N31" s="491"/>
      <c r="O31" s="492"/>
      <c r="P31" s="556"/>
      <c r="Q31" s="491"/>
      <c r="R31" s="491"/>
      <c r="S31" s="492"/>
      <c r="T31" s="556"/>
      <c r="U31" s="527"/>
      <c r="V31" s="429"/>
    </row>
    <row r="32" spans="2:22" x14ac:dyDescent="0.25">
      <c r="B32" s="486">
        <v>1</v>
      </c>
      <c r="C32" s="487" t="s">
        <v>239</v>
      </c>
      <c r="D32" s="487" t="s">
        <v>84</v>
      </c>
      <c r="E32" s="493" t="s">
        <v>84</v>
      </c>
      <c r="F32" s="496" t="s">
        <v>103</v>
      </c>
      <c r="G32" s="489">
        <v>5</v>
      </c>
      <c r="H32" s="489">
        <v>2</v>
      </c>
      <c r="I32" s="489">
        <v>2</v>
      </c>
      <c r="J32" s="489"/>
      <c r="K32" s="489"/>
      <c r="L32" s="497" t="s">
        <v>64</v>
      </c>
      <c r="M32" s="571"/>
      <c r="N32" s="499"/>
      <c r="O32" s="500"/>
      <c r="P32" s="556">
        <f>P33</f>
        <v>21510250</v>
      </c>
      <c r="Q32" s="571"/>
      <c r="R32" s="499"/>
      <c r="S32" s="500"/>
      <c r="T32" s="556">
        <f>T33</f>
        <v>10755125</v>
      </c>
      <c r="U32" s="527"/>
      <c r="V32" s="429"/>
    </row>
    <row r="33" spans="2:22" x14ac:dyDescent="0.25">
      <c r="B33" s="486">
        <v>1</v>
      </c>
      <c r="C33" s="487" t="s">
        <v>239</v>
      </c>
      <c r="D33" s="487" t="s">
        <v>84</v>
      </c>
      <c r="E33" s="493" t="s">
        <v>84</v>
      </c>
      <c r="F33" s="496" t="s">
        <v>103</v>
      </c>
      <c r="G33" s="489">
        <v>5</v>
      </c>
      <c r="H33" s="489">
        <v>2</v>
      </c>
      <c r="I33" s="489">
        <v>2</v>
      </c>
      <c r="J33" s="487" t="s">
        <v>84</v>
      </c>
      <c r="K33" s="489"/>
      <c r="L33" s="607" t="s">
        <v>111</v>
      </c>
      <c r="M33" s="571"/>
      <c r="N33" s="499"/>
      <c r="O33" s="500"/>
      <c r="P33" s="563">
        <f>P34</f>
        <v>21510250</v>
      </c>
      <c r="Q33" s="571"/>
      <c r="R33" s="499"/>
      <c r="S33" s="500"/>
      <c r="T33" s="563">
        <f>T34</f>
        <v>10755125</v>
      </c>
      <c r="U33" s="527"/>
      <c r="V33" s="429"/>
    </row>
    <row r="34" spans="2:22" x14ac:dyDescent="0.25">
      <c r="B34" s="486">
        <v>1</v>
      </c>
      <c r="C34" s="487" t="s">
        <v>239</v>
      </c>
      <c r="D34" s="487" t="s">
        <v>84</v>
      </c>
      <c r="E34" s="493" t="s">
        <v>84</v>
      </c>
      <c r="F34" s="496" t="s">
        <v>103</v>
      </c>
      <c r="G34" s="489">
        <v>5</v>
      </c>
      <c r="H34" s="489">
        <v>2</v>
      </c>
      <c r="I34" s="489">
        <v>2</v>
      </c>
      <c r="J34" s="487" t="s">
        <v>84</v>
      </c>
      <c r="K34" s="487" t="s">
        <v>84</v>
      </c>
      <c r="L34" s="518" t="s">
        <v>70</v>
      </c>
      <c r="M34" s="571"/>
      <c r="N34" s="499"/>
      <c r="O34" s="500"/>
      <c r="P34" s="563">
        <f>SUM(P35:P72)+1195</f>
        <v>21510250</v>
      </c>
      <c r="Q34" s="571"/>
      <c r="R34" s="499"/>
      <c r="S34" s="500"/>
      <c r="T34" s="563">
        <f>SUM(T35:T72)+1195</f>
        <v>10755125</v>
      </c>
      <c r="U34" s="527"/>
      <c r="V34" s="429"/>
    </row>
    <row r="35" spans="2:22" x14ac:dyDescent="0.25">
      <c r="B35" s="486"/>
      <c r="C35" s="487"/>
      <c r="D35" s="487"/>
      <c r="E35" s="493"/>
      <c r="F35" s="496"/>
      <c r="G35" s="489"/>
      <c r="H35" s="489"/>
      <c r="I35" s="489"/>
      <c r="J35" s="487"/>
      <c r="K35" s="611"/>
      <c r="L35" s="612" t="s">
        <v>541</v>
      </c>
      <c r="M35" s="613">
        <v>60</v>
      </c>
      <c r="N35" s="613" t="s">
        <v>461</v>
      </c>
      <c r="O35" s="614">
        <v>45000</v>
      </c>
      <c r="P35" s="563">
        <f t="shared" ref="P35:P72" si="0">M35*O35</f>
        <v>2700000</v>
      </c>
      <c r="Q35" s="613">
        <v>60</v>
      </c>
      <c r="R35" s="613" t="s">
        <v>461</v>
      </c>
      <c r="S35" s="614">
        <v>45000</v>
      </c>
      <c r="T35" s="563">
        <f t="shared" ref="T35:T72" si="1">Q35*S35</f>
        <v>2700000</v>
      </c>
      <c r="U35" s="527">
        <f t="shared" ref="U35" si="2">SUM(T35)-P35</f>
        <v>0</v>
      </c>
      <c r="V35" s="429"/>
    </row>
    <row r="36" spans="2:22" x14ac:dyDescent="0.25">
      <c r="B36" s="486"/>
      <c r="C36" s="487"/>
      <c r="D36" s="487"/>
      <c r="E36" s="493"/>
      <c r="F36" s="496"/>
      <c r="G36" s="489"/>
      <c r="H36" s="489"/>
      <c r="I36" s="489"/>
      <c r="J36" s="487"/>
      <c r="K36" s="611"/>
      <c r="L36" s="615" t="s">
        <v>542</v>
      </c>
      <c r="M36" s="616">
        <v>60</v>
      </c>
      <c r="N36" s="616" t="s">
        <v>461</v>
      </c>
      <c r="O36" s="617">
        <v>43000</v>
      </c>
      <c r="P36" s="563">
        <f t="shared" si="0"/>
        <v>2580000</v>
      </c>
      <c r="Q36" s="616">
        <v>51</v>
      </c>
      <c r="R36" s="616" t="s">
        <v>461</v>
      </c>
      <c r="S36" s="617">
        <v>43000</v>
      </c>
      <c r="T36" s="563">
        <f t="shared" si="1"/>
        <v>2193000</v>
      </c>
      <c r="U36" s="527">
        <f t="shared" ref="U36" si="3">SUM(T36)-P36</f>
        <v>-387000</v>
      </c>
      <c r="V36" s="429"/>
    </row>
    <row r="37" spans="2:22" x14ac:dyDescent="0.25">
      <c r="B37" s="486"/>
      <c r="C37" s="489"/>
      <c r="D37" s="489"/>
      <c r="E37" s="488"/>
      <c r="F37" s="473"/>
      <c r="G37" s="489"/>
      <c r="H37" s="489"/>
      <c r="I37" s="489"/>
      <c r="J37" s="489"/>
      <c r="K37" s="618"/>
      <c r="L37" s="615" t="s">
        <v>543</v>
      </c>
      <c r="M37" s="616">
        <v>6</v>
      </c>
      <c r="N37" s="616" t="s">
        <v>147</v>
      </c>
      <c r="O37" s="619">
        <v>5000</v>
      </c>
      <c r="P37" s="563">
        <f t="shared" si="0"/>
        <v>30000</v>
      </c>
      <c r="Q37" s="616">
        <v>5</v>
      </c>
      <c r="R37" s="616" t="s">
        <v>147</v>
      </c>
      <c r="S37" s="619">
        <v>5000</v>
      </c>
      <c r="T37" s="563">
        <f t="shared" si="1"/>
        <v>25000</v>
      </c>
      <c r="U37" s="527"/>
      <c r="V37" s="429"/>
    </row>
    <row r="38" spans="2:22" x14ac:dyDescent="0.25">
      <c r="B38" s="486"/>
      <c r="C38" s="489"/>
      <c r="D38" s="489"/>
      <c r="E38" s="488"/>
      <c r="F38" s="473"/>
      <c r="G38" s="489"/>
      <c r="H38" s="489"/>
      <c r="I38" s="489"/>
      <c r="J38" s="489"/>
      <c r="K38" s="618"/>
      <c r="L38" s="615" t="s">
        <v>544</v>
      </c>
      <c r="M38" s="616">
        <v>4</v>
      </c>
      <c r="N38" s="616" t="s">
        <v>471</v>
      </c>
      <c r="O38" s="617">
        <v>90000</v>
      </c>
      <c r="P38" s="563">
        <f t="shared" si="0"/>
        <v>360000</v>
      </c>
      <c r="Q38" s="616">
        <v>3</v>
      </c>
      <c r="R38" s="616" t="s">
        <v>471</v>
      </c>
      <c r="S38" s="617">
        <v>90000</v>
      </c>
      <c r="T38" s="563">
        <f t="shared" si="1"/>
        <v>270000</v>
      </c>
      <c r="U38" s="527"/>
      <c r="V38" s="429"/>
    </row>
    <row r="39" spans="2:22" x14ac:dyDescent="0.25">
      <c r="B39" s="486"/>
      <c r="C39" s="489"/>
      <c r="D39" s="489"/>
      <c r="E39" s="488"/>
      <c r="F39" s="473"/>
      <c r="G39" s="489"/>
      <c r="H39" s="489"/>
      <c r="I39" s="489"/>
      <c r="J39" s="489"/>
      <c r="K39" s="618"/>
      <c r="L39" s="615" t="s">
        <v>545</v>
      </c>
      <c r="M39" s="616">
        <v>6</v>
      </c>
      <c r="N39" s="616" t="s">
        <v>577</v>
      </c>
      <c r="O39" s="617">
        <v>25000</v>
      </c>
      <c r="P39" s="563">
        <f t="shared" si="0"/>
        <v>150000</v>
      </c>
      <c r="Q39" s="616">
        <v>5</v>
      </c>
      <c r="R39" s="616" t="s">
        <v>577</v>
      </c>
      <c r="S39" s="617">
        <v>25000</v>
      </c>
      <c r="T39" s="563">
        <f t="shared" si="1"/>
        <v>125000</v>
      </c>
      <c r="U39" s="527"/>
      <c r="V39" s="429"/>
    </row>
    <row r="40" spans="2:22" x14ac:dyDescent="0.25">
      <c r="B40" s="486"/>
      <c r="C40" s="489"/>
      <c r="D40" s="489"/>
      <c r="E40" s="488"/>
      <c r="F40" s="473"/>
      <c r="G40" s="489"/>
      <c r="H40" s="489"/>
      <c r="I40" s="489"/>
      <c r="J40" s="489"/>
      <c r="K40" s="618"/>
      <c r="L40" s="615" t="s">
        <v>546</v>
      </c>
      <c r="M40" s="616">
        <v>10</v>
      </c>
      <c r="N40" s="616" t="s">
        <v>578</v>
      </c>
      <c r="O40" s="619">
        <v>114000</v>
      </c>
      <c r="P40" s="563">
        <f t="shared" si="0"/>
        <v>1140000</v>
      </c>
      <c r="Q40" s="616">
        <v>3</v>
      </c>
      <c r="R40" s="616" t="s">
        <v>578</v>
      </c>
      <c r="S40" s="619">
        <v>114000</v>
      </c>
      <c r="T40" s="563">
        <f t="shared" si="1"/>
        <v>342000</v>
      </c>
      <c r="U40" s="527">
        <f t="shared" ref="U40" si="4">SUM(T40)-P40</f>
        <v>-798000</v>
      </c>
      <c r="V40" s="429"/>
    </row>
    <row r="41" spans="2:22" x14ac:dyDescent="0.25">
      <c r="B41" s="486"/>
      <c r="C41" s="489"/>
      <c r="D41" s="489"/>
      <c r="E41" s="488"/>
      <c r="F41" s="473"/>
      <c r="G41" s="489"/>
      <c r="H41" s="489"/>
      <c r="I41" s="489"/>
      <c r="J41" s="489"/>
      <c r="K41" s="618"/>
      <c r="L41" s="615" t="s">
        <v>547</v>
      </c>
      <c r="M41" s="616">
        <v>11</v>
      </c>
      <c r="N41" s="616" t="s">
        <v>471</v>
      </c>
      <c r="O41" s="619">
        <v>5000</v>
      </c>
      <c r="P41" s="563">
        <f t="shared" si="0"/>
        <v>55000</v>
      </c>
      <c r="Q41" s="616">
        <v>10</v>
      </c>
      <c r="R41" s="616" t="s">
        <v>471</v>
      </c>
      <c r="S41" s="619">
        <v>5000</v>
      </c>
      <c r="T41" s="563">
        <f t="shared" si="1"/>
        <v>50000</v>
      </c>
      <c r="U41" s="527"/>
      <c r="V41" s="429"/>
    </row>
    <row r="42" spans="2:22" x14ac:dyDescent="0.25">
      <c r="B42" s="486"/>
      <c r="C42" s="489"/>
      <c r="D42" s="489"/>
      <c r="E42" s="488"/>
      <c r="F42" s="473"/>
      <c r="G42" s="489"/>
      <c r="H42" s="489"/>
      <c r="I42" s="489"/>
      <c r="J42" s="489"/>
      <c r="K42" s="618"/>
      <c r="L42" s="615" t="s">
        <v>548</v>
      </c>
      <c r="M42" s="616">
        <v>11</v>
      </c>
      <c r="N42" s="616" t="s">
        <v>471</v>
      </c>
      <c r="O42" s="619">
        <v>6500</v>
      </c>
      <c r="P42" s="563">
        <f t="shared" si="0"/>
        <v>71500</v>
      </c>
      <c r="Q42" s="616">
        <v>10</v>
      </c>
      <c r="R42" s="616" t="s">
        <v>471</v>
      </c>
      <c r="S42" s="619">
        <v>6500</v>
      </c>
      <c r="T42" s="563">
        <f t="shared" si="1"/>
        <v>65000</v>
      </c>
      <c r="U42" s="527"/>
      <c r="V42" s="429"/>
    </row>
    <row r="43" spans="2:22" x14ac:dyDescent="0.25">
      <c r="B43" s="486"/>
      <c r="C43" s="489"/>
      <c r="D43" s="489"/>
      <c r="E43" s="488"/>
      <c r="F43" s="473"/>
      <c r="G43" s="489"/>
      <c r="H43" s="489"/>
      <c r="I43" s="489"/>
      <c r="J43" s="489"/>
      <c r="K43" s="618"/>
      <c r="L43" s="615" t="s">
        <v>498</v>
      </c>
      <c r="M43" s="616">
        <v>6</v>
      </c>
      <c r="N43" s="616" t="s">
        <v>471</v>
      </c>
      <c r="O43" s="617">
        <v>10000</v>
      </c>
      <c r="P43" s="563">
        <f t="shared" si="0"/>
        <v>60000</v>
      </c>
      <c r="Q43" s="616">
        <v>5</v>
      </c>
      <c r="R43" s="616" t="s">
        <v>471</v>
      </c>
      <c r="S43" s="617">
        <v>10000</v>
      </c>
      <c r="T43" s="563">
        <f t="shared" si="1"/>
        <v>50000</v>
      </c>
      <c r="U43" s="527"/>
      <c r="V43" s="429"/>
    </row>
    <row r="44" spans="2:22" x14ac:dyDescent="0.25">
      <c r="B44" s="486"/>
      <c r="C44" s="489"/>
      <c r="D44" s="489"/>
      <c r="E44" s="488"/>
      <c r="F44" s="473"/>
      <c r="G44" s="489"/>
      <c r="H44" s="489"/>
      <c r="I44" s="489"/>
      <c r="J44" s="489"/>
      <c r="K44" s="618"/>
      <c r="L44" s="615" t="s">
        <v>549</v>
      </c>
      <c r="M44" s="616">
        <v>3</v>
      </c>
      <c r="N44" s="616" t="s">
        <v>445</v>
      </c>
      <c r="O44" s="617">
        <v>11000</v>
      </c>
      <c r="P44" s="563">
        <f t="shared" si="0"/>
        <v>33000</v>
      </c>
      <c r="Q44" s="616">
        <v>2</v>
      </c>
      <c r="R44" s="616" t="s">
        <v>445</v>
      </c>
      <c r="S44" s="617">
        <v>11000</v>
      </c>
      <c r="T44" s="563">
        <f t="shared" si="1"/>
        <v>22000</v>
      </c>
      <c r="U44" s="527"/>
      <c r="V44" s="429"/>
    </row>
    <row r="45" spans="2:22" x14ac:dyDescent="0.25">
      <c r="B45" s="486"/>
      <c r="C45" s="489"/>
      <c r="D45" s="489"/>
      <c r="E45" s="488"/>
      <c r="F45" s="473"/>
      <c r="G45" s="489"/>
      <c r="H45" s="489"/>
      <c r="I45" s="489"/>
      <c r="J45" s="489"/>
      <c r="K45" s="618"/>
      <c r="L45" s="615" t="s">
        <v>550</v>
      </c>
      <c r="M45" s="616">
        <v>10</v>
      </c>
      <c r="N45" s="616" t="s">
        <v>471</v>
      </c>
      <c r="O45" s="619">
        <v>100000</v>
      </c>
      <c r="P45" s="563">
        <f t="shared" si="0"/>
        <v>1000000</v>
      </c>
      <c r="Q45" s="616">
        <v>1</v>
      </c>
      <c r="R45" s="616" t="s">
        <v>471</v>
      </c>
      <c r="S45" s="619">
        <v>100000</v>
      </c>
      <c r="T45" s="563">
        <f t="shared" si="1"/>
        <v>100000</v>
      </c>
      <c r="U45" s="527"/>
      <c r="V45" s="429"/>
    </row>
    <row r="46" spans="2:22" x14ac:dyDescent="0.25">
      <c r="B46" s="620"/>
      <c r="C46" s="621"/>
      <c r="D46" s="621"/>
      <c r="E46" s="622"/>
      <c r="F46" s="623"/>
      <c r="G46" s="621"/>
      <c r="H46" s="621"/>
      <c r="I46" s="621"/>
      <c r="J46" s="621"/>
      <c r="K46" s="624"/>
      <c r="L46" s="615" t="s">
        <v>551</v>
      </c>
      <c r="M46" s="616">
        <v>9</v>
      </c>
      <c r="N46" s="616" t="s">
        <v>445</v>
      </c>
      <c r="O46" s="619">
        <v>6000</v>
      </c>
      <c r="P46" s="640">
        <f t="shared" si="0"/>
        <v>54000</v>
      </c>
      <c r="Q46" s="616">
        <v>8</v>
      </c>
      <c r="R46" s="616" t="s">
        <v>445</v>
      </c>
      <c r="S46" s="619">
        <v>6000</v>
      </c>
      <c r="T46" s="640">
        <f t="shared" si="1"/>
        <v>48000</v>
      </c>
      <c r="U46" s="527"/>
      <c r="V46" s="429"/>
    </row>
    <row r="47" spans="2:22" x14ac:dyDescent="0.25">
      <c r="B47" s="620"/>
      <c r="C47" s="621"/>
      <c r="D47" s="621"/>
      <c r="E47" s="622"/>
      <c r="F47" s="623"/>
      <c r="G47" s="621"/>
      <c r="H47" s="621"/>
      <c r="I47" s="621"/>
      <c r="J47" s="621"/>
      <c r="K47" s="624"/>
      <c r="L47" s="615" t="s">
        <v>552</v>
      </c>
      <c r="M47" s="616">
        <v>24</v>
      </c>
      <c r="N47" s="616" t="s">
        <v>445</v>
      </c>
      <c r="O47" s="617">
        <v>20000</v>
      </c>
      <c r="P47" s="640">
        <f t="shared" si="0"/>
        <v>480000</v>
      </c>
      <c r="Q47" s="616">
        <v>23</v>
      </c>
      <c r="R47" s="616" t="s">
        <v>445</v>
      </c>
      <c r="S47" s="617">
        <v>20000</v>
      </c>
      <c r="T47" s="640">
        <f t="shared" si="1"/>
        <v>460000</v>
      </c>
      <c r="U47" s="527">
        <f t="shared" ref="U47:U49" si="5">SUM(T47)-P47</f>
        <v>-20000</v>
      </c>
      <c r="V47" s="429"/>
    </row>
    <row r="48" spans="2:22" x14ac:dyDescent="0.25">
      <c r="B48" s="620"/>
      <c r="C48" s="621"/>
      <c r="D48" s="621"/>
      <c r="E48" s="622"/>
      <c r="F48" s="623"/>
      <c r="G48" s="621"/>
      <c r="H48" s="621"/>
      <c r="I48" s="621"/>
      <c r="J48" s="621"/>
      <c r="K48" s="624"/>
      <c r="L48" s="615" t="s">
        <v>553</v>
      </c>
      <c r="M48" s="616">
        <v>21</v>
      </c>
      <c r="N48" s="616" t="s">
        <v>445</v>
      </c>
      <c r="O48" s="617">
        <v>15000</v>
      </c>
      <c r="P48" s="640">
        <f t="shared" si="0"/>
        <v>315000</v>
      </c>
      <c r="Q48" s="616">
        <v>20</v>
      </c>
      <c r="R48" s="616" t="s">
        <v>445</v>
      </c>
      <c r="S48" s="617">
        <v>15000</v>
      </c>
      <c r="T48" s="640">
        <f t="shared" si="1"/>
        <v>300000</v>
      </c>
      <c r="U48" s="527">
        <f t="shared" si="5"/>
        <v>-15000</v>
      </c>
      <c r="V48" s="429"/>
    </row>
    <row r="49" spans="2:22" x14ac:dyDescent="0.25">
      <c r="B49" s="620"/>
      <c r="C49" s="621"/>
      <c r="D49" s="621"/>
      <c r="E49" s="622"/>
      <c r="F49" s="623"/>
      <c r="G49" s="621"/>
      <c r="H49" s="621"/>
      <c r="I49" s="621"/>
      <c r="J49" s="621"/>
      <c r="K49" s="624"/>
      <c r="L49" s="615" t="s">
        <v>554</v>
      </c>
      <c r="M49" s="616">
        <v>10</v>
      </c>
      <c r="N49" s="616" t="s">
        <v>147</v>
      </c>
      <c r="O49" s="617">
        <v>88000</v>
      </c>
      <c r="P49" s="640">
        <f t="shared" si="0"/>
        <v>880000</v>
      </c>
      <c r="Q49" s="616">
        <v>5</v>
      </c>
      <c r="R49" s="616" t="s">
        <v>147</v>
      </c>
      <c r="S49" s="617">
        <v>88000</v>
      </c>
      <c r="T49" s="640">
        <f t="shared" si="1"/>
        <v>440000</v>
      </c>
      <c r="U49" s="527">
        <f t="shared" si="5"/>
        <v>-440000</v>
      </c>
      <c r="V49" s="429"/>
    </row>
    <row r="50" spans="2:22" x14ac:dyDescent="0.25">
      <c r="B50" s="620"/>
      <c r="C50" s="621"/>
      <c r="D50" s="621"/>
      <c r="E50" s="622"/>
      <c r="F50" s="623"/>
      <c r="G50" s="621"/>
      <c r="H50" s="621"/>
      <c r="I50" s="621"/>
      <c r="J50" s="621"/>
      <c r="K50" s="624"/>
      <c r="L50" s="615" t="s">
        <v>555</v>
      </c>
      <c r="M50" s="616">
        <v>3</v>
      </c>
      <c r="N50" s="616" t="s">
        <v>579</v>
      </c>
      <c r="O50" s="617">
        <v>27000</v>
      </c>
      <c r="P50" s="640">
        <f t="shared" si="0"/>
        <v>81000</v>
      </c>
      <c r="Q50" s="616">
        <v>2</v>
      </c>
      <c r="R50" s="616" t="s">
        <v>579</v>
      </c>
      <c r="S50" s="617">
        <v>27000</v>
      </c>
      <c r="T50" s="640">
        <f t="shared" si="1"/>
        <v>54000</v>
      </c>
      <c r="U50" s="527"/>
      <c r="V50" s="429"/>
    </row>
    <row r="51" spans="2:22" x14ac:dyDescent="0.25">
      <c r="B51" s="620"/>
      <c r="C51" s="621"/>
      <c r="D51" s="621"/>
      <c r="E51" s="622"/>
      <c r="F51" s="623"/>
      <c r="G51" s="621"/>
      <c r="H51" s="621"/>
      <c r="I51" s="621"/>
      <c r="J51" s="621"/>
      <c r="K51" s="624"/>
      <c r="L51" s="615" t="s">
        <v>556</v>
      </c>
      <c r="M51" s="616">
        <v>2</v>
      </c>
      <c r="N51" s="616" t="s">
        <v>445</v>
      </c>
      <c r="O51" s="617">
        <v>13800</v>
      </c>
      <c r="P51" s="640">
        <f t="shared" si="0"/>
        <v>27600</v>
      </c>
      <c r="Q51" s="616">
        <v>1</v>
      </c>
      <c r="R51" s="616" t="s">
        <v>445</v>
      </c>
      <c r="S51" s="617">
        <v>13800</v>
      </c>
      <c r="T51" s="640">
        <f t="shared" si="1"/>
        <v>13800</v>
      </c>
      <c r="U51" s="527"/>
      <c r="V51" s="429"/>
    </row>
    <row r="52" spans="2:22" x14ac:dyDescent="0.25">
      <c r="B52" s="620"/>
      <c r="C52" s="621"/>
      <c r="D52" s="621"/>
      <c r="E52" s="622"/>
      <c r="F52" s="623"/>
      <c r="G52" s="621"/>
      <c r="H52" s="621"/>
      <c r="I52" s="621"/>
      <c r="J52" s="621"/>
      <c r="K52" s="624"/>
      <c r="L52" s="615" t="s">
        <v>557</v>
      </c>
      <c r="M52" s="616">
        <v>2</v>
      </c>
      <c r="N52" s="616" t="s">
        <v>445</v>
      </c>
      <c r="O52" s="617">
        <v>17200</v>
      </c>
      <c r="P52" s="640">
        <f t="shared" si="0"/>
        <v>34400</v>
      </c>
      <c r="Q52" s="616">
        <v>1</v>
      </c>
      <c r="R52" s="616" t="s">
        <v>445</v>
      </c>
      <c r="S52" s="617">
        <v>17200</v>
      </c>
      <c r="T52" s="640">
        <f t="shared" si="1"/>
        <v>17200</v>
      </c>
      <c r="U52" s="527"/>
      <c r="V52" s="429"/>
    </row>
    <row r="53" spans="2:22" x14ac:dyDescent="0.25">
      <c r="B53" s="620"/>
      <c r="C53" s="621"/>
      <c r="D53" s="621"/>
      <c r="E53" s="622"/>
      <c r="F53" s="623"/>
      <c r="G53" s="621"/>
      <c r="H53" s="621"/>
      <c r="I53" s="621"/>
      <c r="J53" s="621"/>
      <c r="K53" s="624"/>
      <c r="L53" s="615" t="s">
        <v>558</v>
      </c>
      <c r="M53" s="616">
        <v>23</v>
      </c>
      <c r="N53" s="616" t="s">
        <v>471</v>
      </c>
      <c r="O53" s="619">
        <v>1600</v>
      </c>
      <c r="P53" s="640">
        <f t="shared" si="0"/>
        <v>36800</v>
      </c>
      <c r="Q53" s="616">
        <v>22</v>
      </c>
      <c r="R53" s="616" t="s">
        <v>471</v>
      </c>
      <c r="S53" s="619">
        <v>1600</v>
      </c>
      <c r="T53" s="640">
        <f t="shared" si="1"/>
        <v>35200</v>
      </c>
      <c r="U53" s="527"/>
      <c r="V53" s="429"/>
    </row>
    <row r="54" spans="2:22" x14ac:dyDescent="0.25">
      <c r="B54" s="620"/>
      <c r="C54" s="621"/>
      <c r="D54" s="621"/>
      <c r="E54" s="622"/>
      <c r="F54" s="623"/>
      <c r="G54" s="621"/>
      <c r="H54" s="621"/>
      <c r="I54" s="621"/>
      <c r="J54" s="621"/>
      <c r="K54" s="624"/>
      <c r="L54" s="615" t="s">
        <v>559</v>
      </c>
      <c r="M54" s="616">
        <v>16</v>
      </c>
      <c r="N54" s="616" t="s">
        <v>445</v>
      </c>
      <c r="O54" s="619">
        <v>7850</v>
      </c>
      <c r="P54" s="640">
        <f t="shared" si="0"/>
        <v>125600</v>
      </c>
      <c r="Q54" s="616">
        <v>15</v>
      </c>
      <c r="R54" s="616" t="s">
        <v>445</v>
      </c>
      <c r="S54" s="619">
        <v>7850</v>
      </c>
      <c r="T54" s="640">
        <f t="shared" si="1"/>
        <v>117750</v>
      </c>
      <c r="U54" s="527"/>
      <c r="V54" s="429"/>
    </row>
    <row r="55" spans="2:22" x14ac:dyDescent="0.25">
      <c r="B55" s="620"/>
      <c r="C55" s="621"/>
      <c r="D55" s="621"/>
      <c r="E55" s="622"/>
      <c r="F55" s="623"/>
      <c r="G55" s="621"/>
      <c r="H55" s="621"/>
      <c r="I55" s="621"/>
      <c r="J55" s="621"/>
      <c r="K55" s="624"/>
      <c r="L55" s="615" t="s">
        <v>560</v>
      </c>
      <c r="M55" s="616">
        <v>9</v>
      </c>
      <c r="N55" s="616" t="s">
        <v>201</v>
      </c>
      <c r="O55" s="617">
        <v>15000</v>
      </c>
      <c r="P55" s="640">
        <f t="shared" si="0"/>
        <v>135000</v>
      </c>
      <c r="Q55" s="616">
        <v>8</v>
      </c>
      <c r="R55" s="616" t="s">
        <v>201</v>
      </c>
      <c r="S55" s="617">
        <v>15000</v>
      </c>
      <c r="T55" s="640">
        <f t="shared" si="1"/>
        <v>120000</v>
      </c>
      <c r="U55" s="527"/>
      <c r="V55" s="429"/>
    </row>
    <row r="56" spans="2:22" x14ac:dyDescent="0.25">
      <c r="B56" s="620"/>
      <c r="C56" s="621"/>
      <c r="D56" s="621"/>
      <c r="E56" s="622"/>
      <c r="F56" s="623"/>
      <c r="G56" s="621"/>
      <c r="H56" s="621"/>
      <c r="I56" s="621"/>
      <c r="J56" s="621"/>
      <c r="K56" s="624"/>
      <c r="L56" s="615" t="s">
        <v>561</v>
      </c>
      <c r="M56" s="616">
        <v>7</v>
      </c>
      <c r="N56" s="616" t="s">
        <v>445</v>
      </c>
      <c r="O56" s="619">
        <v>6190</v>
      </c>
      <c r="P56" s="640">
        <f t="shared" si="0"/>
        <v>43330</v>
      </c>
      <c r="Q56" s="616">
        <v>6</v>
      </c>
      <c r="R56" s="616" t="s">
        <v>445</v>
      </c>
      <c r="S56" s="619">
        <v>6190</v>
      </c>
      <c r="T56" s="640">
        <f t="shared" si="1"/>
        <v>37140</v>
      </c>
      <c r="U56" s="527"/>
      <c r="V56" s="429"/>
    </row>
    <row r="57" spans="2:22" x14ac:dyDescent="0.25">
      <c r="B57" s="620"/>
      <c r="C57" s="621"/>
      <c r="D57" s="621"/>
      <c r="E57" s="622"/>
      <c r="F57" s="623"/>
      <c r="G57" s="621"/>
      <c r="H57" s="621"/>
      <c r="I57" s="621"/>
      <c r="J57" s="621"/>
      <c r="K57" s="624"/>
      <c r="L57" s="615" t="s">
        <v>562</v>
      </c>
      <c r="M57" s="616">
        <v>7</v>
      </c>
      <c r="N57" s="616" t="s">
        <v>580</v>
      </c>
      <c r="O57" s="619">
        <v>3000</v>
      </c>
      <c r="P57" s="640">
        <f t="shared" si="0"/>
        <v>21000</v>
      </c>
      <c r="Q57" s="616">
        <v>6</v>
      </c>
      <c r="R57" s="616" t="s">
        <v>580</v>
      </c>
      <c r="S57" s="619">
        <v>3000</v>
      </c>
      <c r="T57" s="640">
        <f t="shared" si="1"/>
        <v>18000</v>
      </c>
      <c r="U57" s="527"/>
      <c r="V57" s="429"/>
    </row>
    <row r="58" spans="2:22" x14ac:dyDescent="0.25">
      <c r="B58" s="620"/>
      <c r="C58" s="621"/>
      <c r="D58" s="621"/>
      <c r="E58" s="622"/>
      <c r="F58" s="623"/>
      <c r="G58" s="621"/>
      <c r="H58" s="621"/>
      <c r="I58" s="621"/>
      <c r="J58" s="621"/>
      <c r="K58" s="624"/>
      <c r="L58" s="625" t="s">
        <v>553</v>
      </c>
      <c r="M58" s="626">
        <v>13</v>
      </c>
      <c r="N58" s="626" t="s">
        <v>445</v>
      </c>
      <c r="O58" s="617">
        <v>15000</v>
      </c>
      <c r="P58" s="640">
        <f t="shared" si="0"/>
        <v>195000</v>
      </c>
      <c r="Q58" s="626">
        <v>12</v>
      </c>
      <c r="R58" s="626" t="s">
        <v>445</v>
      </c>
      <c r="S58" s="617">
        <v>15000</v>
      </c>
      <c r="T58" s="640">
        <f t="shared" si="1"/>
        <v>180000</v>
      </c>
      <c r="U58" s="527">
        <f t="shared" ref="U58" si="6">SUM(T58)-P58</f>
        <v>-15000</v>
      </c>
      <c r="V58" s="429"/>
    </row>
    <row r="59" spans="2:22" x14ac:dyDescent="0.25">
      <c r="B59" s="620"/>
      <c r="C59" s="621"/>
      <c r="D59" s="621"/>
      <c r="E59" s="622"/>
      <c r="F59" s="623"/>
      <c r="G59" s="621"/>
      <c r="H59" s="621"/>
      <c r="I59" s="621"/>
      <c r="J59" s="621"/>
      <c r="K59" s="624"/>
      <c r="L59" s="615" t="s">
        <v>563</v>
      </c>
      <c r="M59" s="616">
        <v>3</v>
      </c>
      <c r="N59" s="616" t="s">
        <v>445</v>
      </c>
      <c r="O59" s="619">
        <v>12590</v>
      </c>
      <c r="P59" s="640">
        <f t="shared" si="0"/>
        <v>37770</v>
      </c>
      <c r="Q59" s="616">
        <v>2</v>
      </c>
      <c r="R59" s="616" t="s">
        <v>445</v>
      </c>
      <c r="S59" s="619">
        <v>12590</v>
      </c>
      <c r="T59" s="640">
        <f t="shared" si="1"/>
        <v>25180</v>
      </c>
      <c r="U59" s="527"/>
      <c r="V59" s="429"/>
    </row>
    <row r="60" spans="2:22" x14ac:dyDescent="0.25">
      <c r="B60" s="620"/>
      <c r="C60" s="621"/>
      <c r="D60" s="621"/>
      <c r="E60" s="622"/>
      <c r="F60" s="623"/>
      <c r="G60" s="621"/>
      <c r="H60" s="621"/>
      <c r="I60" s="621"/>
      <c r="J60" s="621"/>
      <c r="K60" s="624"/>
      <c r="L60" s="615" t="s">
        <v>564</v>
      </c>
      <c r="M60" s="616">
        <v>4</v>
      </c>
      <c r="N60" s="616" t="s">
        <v>581</v>
      </c>
      <c r="O60" s="619">
        <v>14510</v>
      </c>
      <c r="P60" s="640">
        <f t="shared" si="0"/>
        <v>58040</v>
      </c>
      <c r="Q60" s="616">
        <v>3</v>
      </c>
      <c r="R60" s="616" t="s">
        <v>581</v>
      </c>
      <c r="S60" s="619">
        <v>14510</v>
      </c>
      <c r="T60" s="640">
        <f t="shared" si="1"/>
        <v>43530</v>
      </c>
      <c r="U60" s="527"/>
      <c r="V60" s="429"/>
    </row>
    <row r="61" spans="2:22" x14ac:dyDescent="0.25">
      <c r="B61" s="620"/>
      <c r="C61" s="621"/>
      <c r="D61" s="621"/>
      <c r="E61" s="622"/>
      <c r="F61" s="623"/>
      <c r="G61" s="621"/>
      <c r="H61" s="621"/>
      <c r="I61" s="621"/>
      <c r="J61" s="621"/>
      <c r="K61" s="624"/>
      <c r="L61" s="615" t="s">
        <v>565</v>
      </c>
      <c r="M61" s="616">
        <v>3</v>
      </c>
      <c r="N61" s="616" t="s">
        <v>445</v>
      </c>
      <c r="O61" s="619">
        <v>11200</v>
      </c>
      <c r="P61" s="640">
        <f t="shared" si="0"/>
        <v>33600</v>
      </c>
      <c r="Q61" s="616">
        <v>2</v>
      </c>
      <c r="R61" s="616" t="s">
        <v>445</v>
      </c>
      <c r="S61" s="619">
        <v>11200</v>
      </c>
      <c r="T61" s="640">
        <f t="shared" si="1"/>
        <v>22400</v>
      </c>
      <c r="U61" s="527"/>
      <c r="V61" s="429"/>
    </row>
    <row r="62" spans="2:22" x14ac:dyDescent="0.25">
      <c r="B62" s="620"/>
      <c r="C62" s="621"/>
      <c r="D62" s="621"/>
      <c r="E62" s="622"/>
      <c r="F62" s="623"/>
      <c r="G62" s="621"/>
      <c r="H62" s="621"/>
      <c r="I62" s="621"/>
      <c r="J62" s="621"/>
      <c r="K62" s="624"/>
      <c r="L62" s="615" t="s">
        <v>566</v>
      </c>
      <c r="M62" s="616">
        <v>7</v>
      </c>
      <c r="N62" s="616" t="s">
        <v>579</v>
      </c>
      <c r="O62" s="619">
        <v>10000</v>
      </c>
      <c r="P62" s="640">
        <f t="shared" si="0"/>
        <v>70000</v>
      </c>
      <c r="Q62" s="616">
        <v>6</v>
      </c>
      <c r="R62" s="616" t="s">
        <v>579</v>
      </c>
      <c r="S62" s="619">
        <v>10000</v>
      </c>
      <c r="T62" s="640">
        <f t="shared" si="1"/>
        <v>60000</v>
      </c>
      <c r="U62" s="527"/>
      <c r="V62" s="429"/>
    </row>
    <row r="63" spans="2:22" x14ac:dyDescent="0.25">
      <c r="B63" s="620"/>
      <c r="C63" s="621"/>
      <c r="D63" s="621"/>
      <c r="E63" s="622"/>
      <c r="F63" s="623"/>
      <c r="G63" s="621"/>
      <c r="H63" s="621"/>
      <c r="I63" s="621"/>
      <c r="J63" s="621"/>
      <c r="K63" s="624"/>
      <c r="L63" s="615" t="s">
        <v>567</v>
      </c>
      <c r="M63" s="616">
        <v>10</v>
      </c>
      <c r="N63" s="616" t="s">
        <v>445</v>
      </c>
      <c r="O63" s="619">
        <v>120000</v>
      </c>
      <c r="P63" s="640">
        <f t="shared" si="0"/>
        <v>1200000</v>
      </c>
      <c r="Q63" s="616">
        <v>1</v>
      </c>
      <c r="R63" s="616" t="s">
        <v>445</v>
      </c>
      <c r="S63" s="619">
        <v>120000</v>
      </c>
      <c r="T63" s="640">
        <f t="shared" si="1"/>
        <v>120000</v>
      </c>
      <c r="U63" s="527"/>
      <c r="V63" s="429"/>
    </row>
    <row r="64" spans="2:22" x14ac:dyDescent="0.25">
      <c r="B64" s="620"/>
      <c r="C64" s="621"/>
      <c r="D64" s="621"/>
      <c r="E64" s="622"/>
      <c r="F64" s="623"/>
      <c r="G64" s="621"/>
      <c r="H64" s="621"/>
      <c r="I64" s="621"/>
      <c r="J64" s="621"/>
      <c r="K64" s="624"/>
      <c r="L64" s="615" t="s">
        <v>568</v>
      </c>
      <c r="M64" s="616">
        <v>2</v>
      </c>
      <c r="N64" s="616" t="s">
        <v>445</v>
      </c>
      <c r="O64" s="619">
        <v>45000</v>
      </c>
      <c r="P64" s="640">
        <f t="shared" si="0"/>
        <v>90000</v>
      </c>
      <c r="Q64" s="616">
        <v>1</v>
      </c>
      <c r="R64" s="616" t="s">
        <v>445</v>
      </c>
      <c r="S64" s="619">
        <v>45000</v>
      </c>
      <c r="T64" s="640">
        <f t="shared" si="1"/>
        <v>45000</v>
      </c>
      <c r="U64" s="527"/>
      <c r="V64" s="429"/>
    </row>
    <row r="65" spans="2:23" x14ac:dyDescent="0.25">
      <c r="B65" s="620"/>
      <c r="C65" s="621"/>
      <c r="D65" s="621"/>
      <c r="E65" s="622"/>
      <c r="F65" s="623"/>
      <c r="G65" s="621"/>
      <c r="H65" s="621"/>
      <c r="I65" s="621"/>
      <c r="J65" s="621"/>
      <c r="K65" s="624"/>
      <c r="L65" s="615" t="s">
        <v>569</v>
      </c>
      <c r="M65" s="616">
        <v>11</v>
      </c>
      <c r="N65" s="616" t="s">
        <v>445</v>
      </c>
      <c r="O65" s="619">
        <v>4000</v>
      </c>
      <c r="P65" s="640">
        <f t="shared" si="0"/>
        <v>44000</v>
      </c>
      <c r="Q65" s="616">
        <v>10</v>
      </c>
      <c r="R65" s="616" t="s">
        <v>445</v>
      </c>
      <c r="S65" s="619">
        <v>4000</v>
      </c>
      <c r="T65" s="640">
        <f t="shared" si="1"/>
        <v>40000</v>
      </c>
      <c r="U65" s="527"/>
      <c r="V65" s="429"/>
    </row>
    <row r="66" spans="2:23" x14ac:dyDescent="0.25">
      <c r="B66" s="620"/>
      <c r="C66" s="621"/>
      <c r="D66" s="621"/>
      <c r="E66" s="622"/>
      <c r="F66" s="623"/>
      <c r="G66" s="621"/>
      <c r="H66" s="621"/>
      <c r="I66" s="621"/>
      <c r="J66" s="621"/>
      <c r="K66" s="624"/>
      <c r="L66" s="615" t="s">
        <v>570</v>
      </c>
      <c r="M66" s="616">
        <v>6</v>
      </c>
      <c r="N66" s="616" t="s">
        <v>147</v>
      </c>
      <c r="O66" s="619">
        <v>50000</v>
      </c>
      <c r="P66" s="640">
        <f t="shared" si="0"/>
        <v>300000</v>
      </c>
      <c r="Q66" s="616">
        <v>6</v>
      </c>
      <c r="R66" s="616" t="s">
        <v>147</v>
      </c>
      <c r="S66" s="619">
        <v>50000</v>
      </c>
      <c r="T66" s="640">
        <f t="shared" si="1"/>
        <v>300000</v>
      </c>
      <c r="U66" s="527">
        <f t="shared" ref="U66:U69" si="7">SUM(T66)-P66</f>
        <v>0</v>
      </c>
      <c r="V66" s="429"/>
    </row>
    <row r="67" spans="2:23" x14ac:dyDescent="0.25">
      <c r="B67" s="620"/>
      <c r="C67" s="621"/>
      <c r="D67" s="621"/>
      <c r="E67" s="622"/>
      <c r="F67" s="623"/>
      <c r="G67" s="621"/>
      <c r="H67" s="621"/>
      <c r="I67" s="621"/>
      <c r="J67" s="621"/>
      <c r="K67" s="624"/>
      <c r="L67" s="615" t="s">
        <v>571</v>
      </c>
      <c r="M67" s="616">
        <v>7</v>
      </c>
      <c r="N67" s="616" t="s">
        <v>147</v>
      </c>
      <c r="O67" s="619">
        <v>120000</v>
      </c>
      <c r="P67" s="640">
        <f t="shared" si="0"/>
        <v>840000</v>
      </c>
      <c r="Q67" s="616">
        <v>6</v>
      </c>
      <c r="R67" s="616" t="s">
        <v>147</v>
      </c>
      <c r="S67" s="619">
        <v>120000</v>
      </c>
      <c r="T67" s="640">
        <f t="shared" si="1"/>
        <v>720000</v>
      </c>
      <c r="U67" s="527">
        <f t="shared" si="7"/>
        <v>-120000</v>
      </c>
      <c r="V67" s="429"/>
    </row>
    <row r="68" spans="2:23" ht="25" x14ac:dyDescent="0.25">
      <c r="B68" s="620"/>
      <c r="C68" s="621"/>
      <c r="D68" s="621"/>
      <c r="E68" s="622"/>
      <c r="F68" s="623"/>
      <c r="G68" s="621"/>
      <c r="H68" s="621"/>
      <c r="I68" s="621"/>
      <c r="J68" s="621"/>
      <c r="K68" s="624"/>
      <c r="L68" s="615" t="s">
        <v>572</v>
      </c>
      <c r="M68" s="616">
        <v>1</v>
      </c>
      <c r="N68" s="616" t="s">
        <v>499</v>
      </c>
      <c r="O68" s="619">
        <v>103795</v>
      </c>
      <c r="P68" s="641">
        <f t="shared" si="0"/>
        <v>103795</v>
      </c>
      <c r="Q68" s="616">
        <v>1</v>
      </c>
      <c r="R68" s="616" t="s">
        <v>499</v>
      </c>
      <c r="S68" s="619">
        <v>152190</v>
      </c>
      <c r="T68" s="641">
        <f t="shared" si="1"/>
        <v>152190</v>
      </c>
      <c r="U68" s="527">
        <f t="shared" si="7"/>
        <v>48395</v>
      </c>
      <c r="V68" s="429"/>
    </row>
    <row r="69" spans="2:23" x14ac:dyDescent="0.25">
      <c r="B69" s="620"/>
      <c r="C69" s="621"/>
      <c r="D69" s="621"/>
      <c r="E69" s="622"/>
      <c r="F69" s="623"/>
      <c r="G69" s="621"/>
      <c r="H69" s="621"/>
      <c r="I69" s="621"/>
      <c r="J69" s="621"/>
      <c r="K69" s="624"/>
      <c r="L69" s="615" t="s">
        <v>573</v>
      </c>
      <c r="M69" s="616">
        <v>11</v>
      </c>
      <c r="N69" s="616" t="s">
        <v>147</v>
      </c>
      <c r="O69" s="627">
        <v>200000</v>
      </c>
      <c r="P69" s="640">
        <f t="shared" si="0"/>
        <v>2200000</v>
      </c>
      <c r="Q69" s="616">
        <v>1</v>
      </c>
      <c r="R69" s="616" t="s">
        <v>147</v>
      </c>
      <c r="S69" s="627">
        <v>200000</v>
      </c>
      <c r="T69" s="640">
        <f t="shared" si="1"/>
        <v>200000</v>
      </c>
      <c r="U69" s="527">
        <f t="shared" si="7"/>
        <v>-2000000</v>
      </c>
      <c r="V69" s="643"/>
    </row>
    <row r="70" spans="2:23" ht="25" x14ac:dyDescent="0.25">
      <c r="B70" s="620"/>
      <c r="C70" s="621"/>
      <c r="D70" s="621"/>
      <c r="E70" s="622"/>
      <c r="F70" s="623"/>
      <c r="G70" s="621"/>
      <c r="H70" s="621"/>
      <c r="I70" s="621"/>
      <c r="J70" s="621"/>
      <c r="K70" s="624"/>
      <c r="L70" s="628" t="s">
        <v>574</v>
      </c>
      <c r="M70" s="629">
        <v>6</v>
      </c>
      <c r="N70" s="630" t="s">
        <v>499</v>
      </c>
      <c r="O70" s="619">
        <v>750000</v>
      </c>
      <c r="P70" s="641">
        <f t="shared" si="0"/>
        <v>4500000</v>
      </c>
      <c r="Q70" s="629">
        <v>1</v>
      </c>
      <c r="R70" s="630" t="s">
        <v>499</v>
      </c>
      <c r="S70" s="619">
        <v>750000</v>
      </c>
      <c r="T70" s="641">
        <f t="shared" si="1"/>
        <v>750000</v>
      </c>
      <c r="U70" s="527">
        <f>SUM(T70)-P70</f>
        <v>-3750000</v>
      </c>
      <c r="V70" s="643"/>
    </row>
    <row r="71" spans="2:23" x14ac:dyDescent="0.25">
      <c r="B71" s="631"/>
      <c r="C71" s="634"/>
      <c r="D71" s="634"/>
      <c r="E71" s="633"/>
      <c r="F71" s="632"/>
      <c r="G71" s="634"/>
      <c r="H71" s="634"/>
      <c r="I71" s="634"/>
      <c r="J71" s="634"/>
      <c r="K71" s="635"/>
      <c r="L71" s="625" t="s">
        <v>575</v>
      </c>
      <c r="M71" s="626">
        <v>3</v>
      </c>
      <c r="N71" s="636" t="s">
        <v>445</v>
      </c>
      <c r="O71" s="637">
        <v>18000</v>
      </c>
      <c r="P71" s="642">
        <f t="shared" si="0"/>
        <v>54000</v>
      </c>
      <c r="Q71" s="626">
        <v>2</v>
      </c>
      <c r="R71" s="636" t="s">
        <v>445</v>
      </c>
      <c r="S71" s="637">
        <v>18000</v>
      </c>
      <c r="T71" s="642">
        <f t="shared" si="1"/>
        <v>36000</v>
      </c>
      <c r="U71" s="644"/>
      <c r="V71" s="643"/>
    </row>
    <row r="72" spans="2:23" x14ac:dyDescent="0.25">
      <c r="B72" s="620"/>
      <c r="C72" s="623"/>
      <c r="D72" s="623"/>
      <c r="E72" s="622"/>
      <c r="F72" s="623"/>
      <c r="G72" s="623"/>
      <c r="H72" s="623"/>
      <c r="I72" s="623"/>
      <c r="J72" s="623"/>
      <c r="K72" s="622"/>
      <c r="L72" s="638" t="s">
        <v>576</v>
      </c>
      <c r="M72" s="639">
        <v>6</v>
      </c>
      <c r="N72" s="639" t="s">
        <v>471</v>
      </c>
      <c r="O72" s="557">
        <v>228270</v>
      </c>
      <c r="P72" s="559">
        <f t="shared" si="0"/>
        <v>1369620</v>
      </c>
      <c r="Q72" s="639">
        <v>2</v>
      </c>
      <c r="R72" s="639" t="s">
        <v>471</v>
      </c>
      <c r="S72" s="557">
        <v>228270</v>
      </c>
      <c r="T72" s="559">
        <f t="shared" si="1"/>
        <v>456540</v>
      </c>
      <c r="U72" s="527">
        <f>SUM(T72)-P72</f>
        <v>-913080</v>
      </c>
      <c r="V72" s="643"/>
    </row>
    <row r="73" spans="2:23" x14ac:dyDescent="0.25">
      <c r="B73" s="47"/>
      <c r="C73" s="6"/>
      <c r="D73" s="6"/>
      <c r="E73" s="645"/>
      <c r="F73" s="645"/>
      <c r="G73" s="646"/>
      <c r="H73" s="646"/>
      <c r="I73" s="116"/>
      <c r="J73" s="6"/>
      <c r="K73" s="6"/>
      <c r="L73" s="647"/>
      <c r="M73" s="648"/>
      <c r="N73" s="648"/>
      <c r="O73" s="649"/>
      <c r="P73" s="598"/>
      <c r="Q73" s="650"/>
      <c r="R73" s="650"/>
      <c r="S73" s="651"/>
      <c r="T73" s="652"/>
      <c r="U73" s="653"/>
      <c r="V73" s="600"/>
    </row>
    <row r="74" spans="2:23" ht="14.5" thickBot="1" x14ac:dyDescent="0.3">
      <c r="B74" s="2730" t="s">
        <v>15</v>
      </c>
      <c r="C74" s="2731"/>
      <c r="D74" s="2731"/>
      <c r="E74" s="2731"/>
      <c r="F74" s="2731"/>
      <c r="G74" s="2731"/>
      <c r="H74" s="2731"/>
      <c r="I74" s="2731"/>
      <c r="J74" s="2731"/>
      <c r="K74" s="2731"/>
      <c r="L74" s="2731"/>
      <c r="M74" s="2731"/>
      <c r="N74" s="2731"/>
      <c r="O74" s="2732"/>
      <c r="P74" s="436">
        <f>P28</f>
        <v>21510250</v>
      </c>
      <c r="Q74" s="2696"/>
      <c r="R74" s="2697"/>
      <c r="S74" s="2698"/>
      <c r="T74" s="1647">
        <f>T28</f>
        <v>10755125</v>
      </c>
      <c r="U74" s="438">
        <f>SUM(U28:U72)</f>
        <v>-8409685</v>
      </c>
      <c r="V74" s="439">
        <f>U74/P74*100</f>
        <v>-39.096175079322649</v>
      </c>
    </row>
    <row r="75" spans="2:23" ht="13" thickTop="1" x14ac:dyDescent="0.25">
      <c r="B75" s="2699"/>
      <c r="C75" s="2700"/>
      <c r="D75" s="2700"/>
      <c r="E75" s="2700"/>
      <c r="F75" s="2700"/>
      <c r="G75" s="2700"/>
      <c r="H75" s="2700"/>
      <c r="I75" s="2700"/>
      <c r="J75" s="2700"/>
      <c r="K75" s="2700"/>
      <c r="L75" s="2700"/>
      <c r="M75" s="2700"/>
      <c r="N75" s="2700"/>
      <c r="O75" s="2700"/>
      <c r="P75" s="2700"/>
      <c r="Q75" s="2700"/>
      <c r="R75" s="2700"/>
      <c r="S75" s="2700"/>
      <c r="T75" s="2700"/>
      <c r="U75" s="2700"/>
      <c r="V75" s="2701"/>
    </row>
    <row r="76" spans="2:23" ht="12.75" customHeight="1" x14ac:dyDescent="0.25">
      <c r="B76" s="440"/>
      <c r="C76" s="20"/>
      <c r="D76" s="20"/>
      <c r="E76" s="20"/>
      <c r="F76" s="20"/>
      <c r="G76" s="20"/>
      <c r="H76" s="20"/>
      <c r="I76" s="20"/>
      <c r="J76" s="20"/>
      <c r="K76" s="20"/>
      <c r="L76" s="21"/>
      <c r="M76" s="1645"/>
      <c r="N76" s="1645"/>
      <c r="O76" s="1645"/>
      <c r="P76" s="1645"/>
      <c r="Q76" s="1645"/>
      <c r="R76" s="1645"/>
      <c r="S76" s="2702" t="str">
        <f>'KOM, SDM&amp;Listrik '!S45:U45</f>
        <v>Banda Aceh,               2020</v>
      </c>
      <c r="T76" s="2702"/>
      <c r="U76" s="2702"/>
      <c r="V76" s="2496"/>
      <c r="W76" s="100"/>
    </row>
    <row r="77" spans="2:23" x14ac:dyDescent="0.25">
      <c r="B77" s="440"/>
      <c r="C77" s="20"/>
      <c r="D77" s="20"/>
      <c r="E77" s="20"/>
      <c r="F77" s="20"/>
      <c r="G77" s="20"/>
      <c r="H77" s="20"/>
      <c r="I77" s="20"/>
      <c r="J77" s="20"/>
      <c r="K77" s="20"/>
      <c r="L77" s="1635" t="str">
        <f>'KOM, SDM&amp;Listrik '!L46</f>
        <v>Mengesahkan,</v>
      </c>
      <c r="M77" s="1645"/>
      <c r="N77" s="1645"/>
      <c r="O77" s="1645"/>
      <c r="P77" s="1645"/>
      <c r="Q77" s="1645"/>
      <c r="R77" s="1645"/>
      <c r="S77" s="2703" t="str">
        <f>'KOM, SDM&amp;Listrik '!S46:U46</f>
        <v>Pengguna Anggaran</v>
      </c>
      <c r="T77" s="2703"/>
      <c r="U77" s="2703"/>
      <c r="V77" s="44"/>
      <c r="W77" s="22"/>
    </row>
    <row r="78" spans="2:23" ht="12.75" customHeight="1" x14ac:dyDescent="0.25">
      <c r="B78" s="440"/>
      <c r="C78" s="20"/>
      <c r="D78" s="20"/>
      <c r="E78" s="20"/>
      <c r="F78" s="20"/>
      <c r="G78" s="20"/>
      <c r="H78" s="20"/>
      <c r="I78" s="20"/>
      <c r="J78" s="20"/>
      <c r="K78" s="20"/>
      <c r="L78" s="1635" t="str">
        <f>'KOM, SDM&amp;Listrik '!L47</f>
        <v>Pejabat Pengelola Keuangan Daerah</v>
      </c>
      <c r="M78" s="1645"/>
      <c r="N78" s="1645"/>
      <c r="O78" s="1645"/>
      <c r="P78" s="1645"/>
      <c r="Q78" s="1645"/>
      <c r="R78" s="1645"/>
      <c r="S78" s="2703" t="str">
        <f>'KOM, SDM&amp;Listrik '!S47:U47</f>
        <v xml:space="preserve"> Satuan Kerja Perangkat Daerah </v>
      </c>
      <c r="T78" s="2703"/>
      <c r="U78" s="2703"/>
      <c r="V78" s="44"/>
      <c r="W78" s="22"/>
    </row>
    <row r="79" spans="2:23" x14ac:dyDescent="0.25">
      <c r="B79" s="440"/>
      <c r="C79" s="20"/>
      <c r="D79" s="20"/>
      <c r="E79" s="20"/>
      <c r="F79" s="20"/>
      <c r="G79" s="20"/>
      <c r="H79" s="20"/>
      <c r="I79" s="20"/>
      <c r="J79" s="20"/>
      <c r="K79" s="20"/>
      <c r="L79" s="1643"/>
      <c r="M79" s="1645"/>
      <c r="N79" s="1645"/>
      <c r="O79" s="1645"/>
      <c r="P79" s="1645"/>
      <c r="Q79" s="1645"/>
      <c r="R79" s="1645"/>
      <c r="S79" s="113"/>
      <c r="T79" s="101"/>
      <c r="U79" s="101"/>
      <c r="V79" s="111"/>
      <c r="W79" s="102"/>
    </row>
    <row r="80" spans="2:23" x14ac:dyDescent="0.25">
      <c r="B80" s="440"/>
      <c r="C80" s="20"/>
      <c r="D80" s="20"/>
      <c r="E80" s="20"/>
      <c r="F80" s="20"/>
      <c r="G80" s="20"/>
      <c r="H80" s="20"/>
      <c r="I80" s="20"/>
      <c r="J80" s="20"/>
      <c r="K80" s="20"/>
      <c r="L80" s="1643"/>
      <c r="M80" s="1645"/>
      <c r="N80" s="1645"/>
      <c r="O80" s="1645"/>
      <c r="P80" s="1645"/>
      <c r="Q80" s="1645"/>
      <c r="R80" s="1645"/>
      <c r="S80" s="113"/>
      <c r="T80" s="113"/>
      <c r="U80" s="113"/>
      <c r="V80" s="114"/>
      <c r="W80" s="103"/>
    </row>
    <row r="81" spans="2:23" x14ac:dyDescent="0.25">
      <c r="B81" s="440"/>
      <c r="C81" s="20"/>
      <c r="D81" s="20"/>
      <c r="E81" s="20"/>
      <c r="F81" s="20"/>
      <c r="G81" s="20"/>
      <c r="H81" s="20"/>
      <c r="I81" s="20"/>
      <c r="J81" s="20"/>
      <c r="K81" s="20"/>
      <c r="L81" s="99"/>
      <c r="M81" s="1645"/>
      <c r="N81" s="1645"/>
      <c r="O81" s="1645"/>
      <c r="P81" s="1645"/>
      <c r="Q81" s="1645"/>
      <c r="R81" s="1645"/>
      <c r="S81" s="113"/>
      <c r="T81" s="101"/>
      <c r="U81" s="101"/>
      <c r="V81" s="111"/>
      <c r="W81" s="102"/>
    </row>
    <row r="82" spans="2:23" ht="14" x14ac:dyDescent="0.3">
      <c r="B82" s="440"/>
      <c r="C82" s="20"/>
      <c r="D82" s="20"/>
      <c r="E82" s="20"/>
      <c r="F82" s="20"/>
      <c r="G82" s="20"/>
      <c r="H82" s="20"/>
      <c r="I82" s="20"/>
      <c r="J82" s="20"/>
      <c r="K82" s="20"/>
      <c r="L82" s="112" t="str">
        <f>'KOM, SDM&amp;Listrik '!L51</f>
        <v>M. Iqbal Rokan, S.STP.</v>
      </c>
      <c r="M82" s="1645"/>
      <c r="N82" s="1645"/>
      <c r="O82" s="1645"/>
      <c r="P82" s="1645"/>
      <c r="Q82" s="1645"/>
      <c r="R82" s="1645"/>
      <c r="S82" s="2704" t="str">
        <f>'KOM, SDM&amp;Listrik '!S51:U51</f>
        <v>Bustami, SH</v>
      </c>
      <c r="T82" s="2704"/>
      <c r="U82" s="2704"/>
      <c r="V82" s="45"/>
      <c r="W82" s="104"/>
    </row>
    <row r="83" spans="2:23" x14ac:dyDescent="0.25">
      <c r="B83" s="440"/>
      <c r="C83" s="20"/>
      <c r="D83" s="20"/>
      <c r="E83" s="20"/>
      <c r="F83" s="20"/>
      <c r="G83" s="20"/>
      <c r="H83" s="20"/>
      <c r="I83" s="20"/>
      <c r="J83" s="20"/>
      <c r="K83" s="20"/>
      <c r="L83" s="1635" t="str">
        <f>'KOM, SDM&amp;Listrik '!L52</f>
        <v>Nip. 19780505 199810 1 001</v>
      </c>
      <c r="M83" s="1645"/>
      <c r="N83" s="1645"/>
      <c r="O83" s="1645"/>
      <c r="P83" s="1645"/>
      <c r="Q83" s="1645"/>
      <c r="R83" s="1645"/>
      <c r="S83" s="2703" t="str">
        <f>'KOM, SDM&amp;Listrik '!S52:U52</f>
        <v>Pembina Utama Muda / Nip. 196308241987031004</v>
      </c>
      <c r="T83" s="2703"/>
      <c r="U83" s="2703"/>
      <c r="V83" s="44"/>
      <c r="W83" s="22"/>
    </row>
    <row r="84" spans="2:23" x14ac:dyDescent="0.25">
      <c r="B84" s="440"/>
      <c r="C84" s="20"/>
      <c r="D84" s="20"/>
      <c r="E84" s="20"/>
      <c r="F84" s="20"/>
      <c r="G84" s="20"/>
      <c r="H84" s="20"/>
      <c r="I84" s="20"/>
      <c r="J84" s="20"/>
      <c r="K84" s="20"/>
      <c r="L84" s="1635"/>
      <c r="M84" s="1645"/>
      <c r="N84" s="1645"/>
      <c r="O84" s="1645"/>
      <c r="P84" s="1645"/>
      <c r="Q84" s="1645"/>
      <c r="R84" s="1645"/>
      <c r="S84" s="1635"/>
      <c r="T84" s="1635"/>
      <c r="U84" s="1635"/>
      <c r="V84" s="441"/>
      <c r="W84" s="21"/>
    </row>
    <row r="85" spans="2:23" ht="14.25" customHeight="1" x14ac:dyDescent="0.25">
      <c r="B85" s="2705" t="s">
        <v>286</v>
      </c>
      <c r="C85" s="2706"/>
      <c r="D85" s="2706"/>
      <c r="E85" s="2706"/>
      <c r="F85" s="2706"/>
      <c r="G85" s="2706"/>
      <c r="H85" s="2706"/>
      <c r="I85" s="2706"/>
      <c r="J85" s="2706"/>
      <c r="K85" s="2706"/>
      <c r="L85" s="2706"/>
      <c r="M85" s="2707" t="s">
        <v>145</v>
      </c>
      <c r="N85" s="2708"/>
      <c r="O85" s="2708"/>
      <c r="P85" s="2708"/>
      <c r="Q85" s="2708"/>
      <c r="R85" s="2708"/>
      <c r="S85" s="2708"/>
      <c r="T85" s="2708"/>
      <c r="U85" s="2708"/>
      <c r="V85" s="2709"/>
    </row>
    <row r="86" spans="2:23" ht="14.25" customHeight="1" x14ac:dyDescent="0.3">
      <c r="B86" s="2710"/>
      <c r="C86" s="2711"/>
      <c r="D86" s="2711"/>
      <c r="E86" s="2711"/>
      <c r="F86" s="2711"/>
      <c r="G86" s="2711"/>
      <c r="H86" s="2711"/>
      <c r="I86" s="2711"/>
      <c r="J86" s="2711"/>
      <c r="K86" s="2711"/>
      <c r="L86" s="2712"/>
      <c r="M86" s="1636" t="s">
        <v>142</v>
      </c>
      <c r="N86" s="2713"/>
      <c r="O86" s="2713"/>
      <c r="P86" s="2713"/>
      <c r="Q86" s="2714" t="s">
        <v>143</v>
      </c>
      <c r="R86" s="2714"/>
      <c r="S86" s="2714"/>
      <c r="T86" s="1637" t="s">
        <v>144</v>
      </c>
      <c r="U86" s="2714" t="s">
        <v>146</v>
      </c>
      <c r="V86" s="2715"/>
    </row>
    <row r="87" spans="2:23" ht="14.25" customHeight="1" x14ac:dyDescent="0.3">
      <c r="B87" s="2716" t="s">
        <v>293</v>
      </c>
      <c r="C87" s="2717"/>
      <c r="D87" s="2717"/>
      <c r="E87" s="2717"/>
      <c r="F87" s="2717"/>
      <c r="G87" s="2717"/>
      <c r="H87" s="2717"/>
      <c r="I87" s="2717"/>
      <c r="J87" s="2717"/>
      <c r="K87" s="2717"/>
      <c r="L87" s="107">
        <v>0</v>
      </c>
      <c r="M87" s="118">
        <v>1</v>
      </c>
      <c r="N87" s="2718" t="str">
        <f>'KOM, SDM&amp;Listrik '!N56:P56</f>
        <v>Weri, SE. MA</v>
      </c>
      <c r="O87" s="2719"/>
      <c r="P87" s="2719"/>
      <c r="Q87" s="2720" t="str">
        <f>'KOM, SDM&amp;Listrik '!Q56:S56</f>
        <v>19640525 198903 1 026</v>
      </c>
      <c r="R87" s="2721"/>
      <c r="S87" s="2722"/>
      <c r="T87" s="109" t="s">
        <v>302</v>
      </c>
      <c r="U87" s="442" t="s">
        <v>287</v>
      </c>
      <c r="V87" s="443"/>
    </row>
    <row r="88" spans="2:23" ht="14" x14ac:dyDescent="0.3">
      <c r="B88" s="2716" t="s">
        <v>294</v>
      </c>
      <c r="C88" s="2717"/>
      <c r="D88" s="2717"/>
      <c r="E88" s="2717"/>
      <c r="F88" s="2717"/>
      <c r="G88" s="2717"/>
      <c r="H88" s="2717"/>
      <c r="I88" s="2717"/>
      <c r="J88" s="2717"/>
      <c r="K88" s="2717"/>
      <c r="L88" s="107">
        <v>0</v>
      </c>
      <c r="M88" s="118">
        <v>2</v>
      </c>
      <c r="N88" s="2723" t="str">
        <f>'KOM, SDM&amp;Listrik '!N57:P57</f>
        <v>Azmi, SH</v>
      </c>
      <c r="O88" s="2724"/>
      <c r="P88" s="2724"/>
      <c r="Q88" s="2720" t="str">
        <f>'KOM, SDM&amp;Listrik '!Q57:S57</f>
        <v>19680824 199903 1 004</v>
      </c>
      <c r="R88" s="2721"/>
      <c r="S88" s="2722"/>
      <c r="T88" s="109" t="s">
        <v>303</v>
      </c>
      <c r="U88" s="444"/>
      <c r="V88" s="445" t="s">
        <v>128</v>
      </c>
    </row>
    <row r="89" spans="2:23" ht="14" x14ac:dyDescent="0.3">
      <c r="B89" s="2716" t="s">
        <v>295</v>
      </c>
      <c r="C89" s="2717"/>
      <c r="D89" s="2717"/>
      <c r="E89" s="2717"/>
      <c r="F89" s="2717"/>
      <c r="G89" s="2717"/>
      <c r="H89" s="2717"/>
      <c r="I89" s="2717"/>
      <c r="J89" s="2717"/>
      <c r="K89" s="2717"/>
      <c r="L89" s="107">
        <v>0</v>
      </c>
      <c r="M89" s="1371">
        <v>3</v>
      </c>
      <c r="N89" s="2723" t="str">
        <f>'KOM, SDM&amp;Listrik '!N58:P58</f>
        <v>Muhammad Syaifuddin Ambia, ST, MT</v>
      </c>
      <c r="O89" s="2724"/>
      <c r="P89" s="2724"/>
      <c r="Q89" s="2720" t="str">
        <f>'KOM, SDM&amp;Listrik '!Q58:S58</f>
        <v>19741010 200604 1 003</v>
      </c>
      <c r="R89" s="2721"/>
      <c r="S89" s="2722"/>
      <c r="T89" s="109" t="s">
        <v>304</v>
      </c>
      <c r="U89" s="446" t="s">
        <v>292</v>
      </c>
      <c r="V89" s="443"/>
    </row>
    <row r="90" spans="2:23" ht="15" customHeight="1" x14ac:dyDescent="0.3">
      <c r="B90" s="2716" t="s">
        <v>296</v>
      </c>
      <c r="C90" s="2717"/>
      <c r="D90" s="2717"/>
      <c r="E90" s="2717"/>
      <c r="F90" s="2717"/>
      <c r="G90" s="2717"/>
      <c r="H90" s="2717"/>
      <c r="I90" s="2717"/>
      <c r="J90" s="2717"/>
      <c r="K90" s="2717"/>
      <c r="L90" s="107">
        <v>0</v>
      </c>
      <c r="M90" s="118">
        <v>4</v>
      </c>
      <c r="N90" s="2723" t="str">
        <f>'KOM, SDM&amp;Listrik '!N59:P59</f>
        <v>Basri, SE, M.Si</v>
      </c>
      <c r="O90" s="2724"/>
      <c r="P90" s="2724"/>
      <c r="Q90" s="2720" t="str">
        <f>'KOM, SDM&amp;Listrik '!Q59:S59</f>
        <v>19691213 199403 1 002</v>
      </c>
      <c r="R90" s="2721"/>
      <c r="S90" s="2722"/>
      <c r="T90" s="109" t="s">
        <v>305</v>
      </c>
      <c r="U90" s="444"/>
      <c r="V90" s="445" t="s">
        <v>288</v>
      </c>
    </row>
    <row r="91" spans="2:23" ht="14" x14ac:dyDescent="0.3">
      <c r="B91" s="2716" t="s">
        <v>297</v>
      </c>
      <c r="C91" s="2717"/>
      <c r="D91" s="2717"/>
      <c r="E91" s="2717"/>
      <c r="F91" s="2717"/>
      <c r="G91" s="2717"/>
      <c r="H91" s="2717"/>
      <c r="I91" s="2717"/>
      <c r="J91" s="2717"/>
      <c r="K91" s="2717"/>
      <c r="L91" s="108">
        <f>SUM(L87:L90)</f>
        <v>0</v>
      </c>
      <c r="M91" s="105">
        <v>5</v>
      </c>
      <c r="N91" s="2723" t="str">
        <f>'KOM, SDM&amp;Listrik '!N60:P60</f>
        <v>Dewi Shinta Reza, SE. Ak</v>
      </c>
      <c r="O91" s="2724"/>
      <c r="P91" s="2724"/>
      <c r="Q91" s="2720" t="str">
        <f>'KOM, SDM&amp;Listrik '!Q60:S60</f>
        <v>19750630 200212 2 003</v>
      </c>
      <c r="R91" s="2721"/>
      <c r="S91" s="2722"/>
      <c r="T91" s="109" t="s">
        <v>306</v>
      </c>
      <c r="U91" s="446" t="s">
        <v>289</v>
      </c>
      <c r="V91" s="443"/>
    </row>
    <row r="92" spans="2:23" ht="13.5" customHeight="1" x14ac:dyDescent="0.3">
      <c r="B92" s="2710"/>
      <c r="C92" s="2711"/>
      <c r="D92" s="2711"/>
      <c r="E92" s="2711"/>
      <c r="F92" s="2711"/>
      <c r="G92" s="2711"/>
      <c r="H92" s="2711"/>
      <c r="I92" s="2711"/>
      <c r="J92" s="2711"/>
      <c r="K92" s="2711"/>
      <c r="L92" s="2712"/>
      <c r="M92" s="105">
        <v>6</v>
      </c>
      <c r="N92" s="2718" t="str">
        <f>'KOM, SDM&amp;Listrik '!N61:P61</f>
        <v>Harisman, S.STP, M.Ec.Dev</v>
      </c>
      <c r="O92" s="2719"/>
      <c r="P92" s="2719"/>
      <c r="Q92" s="2720" t="str">
        <f>'KOM, SDM&amp;Listrik '!Q61:S61</f>
        <v>19830101 200112 1 003</v>
      </c>
      <c r="R92" s="2721"/>
      <c r="S92" s="2722"/>
      <c r="T92" s="109" t="s">
        <v>307</v>
      </c>
      <c r="U92" s="444"/>
      <c r="V92" s="445" t="s">
        <v>290</v>
      </c>
    </row>
    <row r="93" spans="2:23" ht="14.5" thickBot="1" x14ac:dyDescent="0.35">
      <c r="B93" s="2725"/>
      <c r="C93" s="2726"/>
      <c r="D93" s="2726"/>
      <c r="E93" s="2726"/>
      <c r="F93" s="2726"/>
      <c r="G93" s="2726"/>
      <c r="H93" s="2726"/>
      <c r="I93" s="2726"/>
      <c r="J93" s="2726"/>
      <c r="K93" s="2726"/>
      <c r="L93" s="2727"/>
      <c r="M93" s="106">
        <v>7</v>
      </c>
      <c r="N93" s="2728" t="str">
        <f>'KOM, SDM&amp;Listrik '!N62:P62</f>
        <v>Alriandi, S.STP, M.Si</v>
      </c>
      <c r="O93" s="2729"/>
      <c r="P93" s="2729"/>
      <c r="Q93" s="2733" t="str">
        <f>'KOM, SDM&amp;Listrik '!Q62:S62</f>
        <v>19830308 200112 1 001</v>
      </c>
      <c r="R93" s="2734"/>
      <c r="S93" s="2735"/>
      <c r="T93" s="110" t="s">
        <v>308</v>
      </c>
      <c r="U93" s="447" t="s">
        <v>291</v>
      </c>
      <c r="V93" s="448"/>
    </row>
    <row r="94" spans="2:23" ht="13" thickTop="1" x14ac:dyDescent="0.25">
      <c r="B94" s="342"/>
      <c r="C94" s="342"/>
      <c r="D94" s="342"/>
      <c r="E94" s="342"/>
      <c r="F94" s="342"/>
      <c r="G94" s="342"/>
      <c r="H94" s="342"/>
      <c r="I94" s="342"/>
      <c r="J94" s="342"/>
      <c r="K94" s="342"/>
      <c r="L94" s="342"/>
      <c r="M94" s="342"/>
      <c r="N94" s="342"/>
      <c r="O94" s="342"/>
      <c r="P94" s="342"/>
    </row>
    <row r="95" spans="2:23" x14ac:dyDescent="0.25">
      <c r="B95" s="342"/>
      <c r="C95" s="342"/>
      <c r="D95" s="342"/>
      <c r="E95" s="342"/>
      <c r="F95" s="342"/>
      <c r="G95" s="342"/>
      <c r="H95" s="342"/>
      <c r="I95" s="342"/>
      <c r="J95" s="342"/>
      <c r="K95" s="342"/>
      <c r="L95" s="342"/>
      <c r="M95" s="342"/>
      <c r="N95" s="342"/>
      <c r="O95" s="342"/>
      <c r="P95" s="342"/>
    </row>
    <row r="96" spans="2:23" x14ac:dyDescent="0.25">
      <c r="B96" s="342"/>
      <c r="C96" s="342"/>
      <c r="D96" s="342"/>
      <c r="E96" s="342"/>
      <c r="F96" s="342"/>
      <c r="G96" s="342"/>
      <c r="H96" s="342"/>
      <c r="I96" s="342"/>
      <c r="J96" s="342"/>
      <c r="K96" s="342"/>
      <c r="L96" s="342"/>
      <c r="M96" s="342"/>
      <c r="N96" s="342"/>
      <c r="O96" s="342"/>
      <c r="P96" s="342"/>
    </row>
    <row r="97" spans="2:16" x14ac:dyDescent="0.25">
      <c r="B97" s="342"/>
      <c r="C97" s="342"/>
      <c r="D97" s="342"/>
      <c r="E97" s="342"/>
      <c r="F97" s="342"/>
      <c r="G97" s="342"/>
      <c r="H97" s="342"/>
      <c r="I97" s="342"/>
      <c r="J97" s="342"/>
      <c r="K97" s="342"/>
      <c r="L97" s="342"/>
      <c r="M97" s="342"/>
      <c r="N97" s="342"/>
      <c r="O97" s="342"/>
      <c r="P97" s="342"/>
    </row>
    <row r="98" spans="2:16" x14ac:dyDescent="0.25">
      <c r="B98" s="342"/>
      <c r="C98" s="342"/>
      <c r="D98" s="342"/>
      <c r="E98" s="342"/>
      <c r="F98" s="342"/>
      <c r="G98" s="342"/>
      <c r="H98" s="342"/>
      <c r="I98" s="342"/>
      <c r="J98" s="342"/>
      <c r="K98" s="342"/>
      <c r="L98" s="342"/>
      <c r="M98" s="342"/>
      <c r="N98" s="342"/>
      <c r="O98" s="342"/>
      <c r="P98" s="342"/>
    </row>
    <row r="99" spans="2:16" x14ac:dyDescent="0.25">
      <c r="B99" s="342"/>
      <c r="C99" s="342"/>
      <c r="D99" s="342"/>
      <c r="E99" s="342"/>
      <c r="F99" s="342"/>
      <c r="G99" s="342"/>
      <c r="H99" s="342"/>
      <c r="I99" s="342"/>
      <c r="J99" s="342"/>
      <c r="K99" s="342"/>
      <c r="L99" s="342"/>
      <c r="M99" s="342"/>
      <c r="N99" s="342"/>
      <c r="O99" s="342"/>
      <c r="P99" s="342"/>
    </row>
    <row r="100" spans="2:16" x14ac:dyDescent="0.25">
      <c r="B100" s="342"/>
      <c r="C100" s="342"/>
      <c r="D100" s="342"/>
      <c r="E100" s="342"/>
      <c r="F100" s="342"/>
      <c r="G100" s="342"/>
      <c r="H100" s="342"/>
      <c r="I100" s="342"/>
      <c r="J100" s="342"/>
      <c r="K100" s="342"/>
      <c r="L100" s="342"/>
      <c r="M100" s="342"/>
      <c r="N100" s="342"/>
      <c r="O100" s="342"/>
      <c r="P100" s="342"/>
    </row>
    <row r="101" spans="2:16" x14ac:dyDescent="0.25">
      <c r="B101" s="342"/>
      <c r="C101" s="342"/>
      <c r="D101" s="342"/>
      <c r="E101" s="342"/>
      <c r="F101" s="342"/>
      <c r="G101" s="342"/>
      <c r="H101" s="342"/>
      <c r="I101" s="342"/>
      <c r="J101" s="342"/>
      <c r="K101" s="342"/>
      <c r="L101" s="342"/>
      <c r="M101" s="342"/>
      <c r="N101" s="342"/>
      <c r="O101" s="342"/>
      <c r="P101" s="342"/>
    </row>
    <row r="102" spans="2:16" x14ac:dyDescent="0.25">
      <c r="B102" s="342"/>
      <c r="C102" s="342"/>
      <c r="D102" s="342"/>
      <c r="E102" s="342"/>
      <c r="F102" s="342"/>
      <c r="G102" s="342"/>
      <c r="H102" s="342"/>
      <c r="I102" s="342"/>
      <c r="J102" s="342"/>
      <c r="K102" s="342"/>
      <c r="L102" s="342"/>
      <c r="M102" s="342"/>
      <c r="N102" s="342"/>
      <c r="O102" s="342"/>
      <c r="P102" s="342"/>
    </row>
    <row r="103" spans="2:16" x14ac:dyDescent="0.25">
      <c r="B103" s="342"/>
      <c r="C103" s="342"/>
      <c r="D103" s="342"/>
      <c r="E103" s="342"/>
      <c r="F103" s="342"/>
      <c r="G103" s="342"/>
      <c r="H103" s="342"/>
      <c r="I103" s="342"/>
      <c r="J103" s="342"/>
      <c r="K103" s="342"/>
      <c r="L103" s="342"/>
      <c r="M103" s="342"/>
      <c r="N103" s="342"/>
      <c r="O103" s="342"/>
      <c r="P103" s="342"/>
    </row>
    <row r="104" spans="2:16" x14ac:dyDescent="0.25">
      <c r="B104" s="342"/>
      <c r="C104" s="342"/>
      <c r="D104" s="342"/>
      <c r="E104" s="342"/>
      <c r="F104" s="342"/>
      <c r="G104" s="342"/>
      <c r="H104" s="342"/>
      <c r="I104" s="342"/>
      <c r="J104" s="342"/>
      <c r="K104" s="342"/>
      <c r="L104" s="342"/>
      <c r="M104" s="342"/>
      <c r="N104" s="342"/>
      <c r="O104" s="342"/>
      <c r="P104" s="342"/>
    </row>
    <row r="105" spans="2:16" x14ac:dyDescent="0.25">
      <c r="B105" s="342"/>
      <c r="C105" s="342"/>
      <c r="D105" s="342"/>
      <c r="E105" s="342"/>
      <c r="F105" s="342"/>
      <c r="G105" s="342"/>
      <c r="H105" s="342"/>
      <c r="I105" s="342"/>
      <c r="J105" s="342"/>
      <c r="K105" s="342"/>
      <c r="L105" s="342"/>
      <c r="M105" s="342"/>
      <c r="N105" s="342"/>
      <c r="O105" s="342"/>
      <c r="P105" s="342"/>
    </row>
    <row r="106" spans="2:16" x14ac:dyDescent="0.25">
      <c r="B106" s="342"/>
      <c r="C106" s="342"/>
      <c r="D106" s="342"/>
      <c r="E106" s="342"/>
      <c r="F106" s="342"/>
      <c r="G106" s="342"/>
      <c r="H106" s="342"/>
      <c r="I106" s="342"/>
      <c r="J106" s="342"/>
      <c r="K106" s="342"/>
      <c r="L106" s="342"/>
      <c r="M106" s="342"/>
      <c r="N106" s="342"/>
      <c r="O106" s="342"/>
      <c r="P106" s="342"/>
    </row>
    <row r="107" spans="2:16" x14ac:dyDescent="0.25">
      <c r="B107" s="342"/>
      <c r="C107" s="342"/>
      <c r="D107" s="342"/>
      <c r="E107" s="342"/>
      <c r="F107" s="342"/>
      <c r="G107" s="342"/>
      <c r="H107" s="342"/>
      <c r="I107" s="342"/>
      <c r="J107" s="342"/>
      <c r="K107" s="342"/>
      <c r="L107" s="342"/>
      <c r="M107" s="342"/>
      <c r="N107" s="342"/>
      <c r="O107" s="342"/>
      <c r="P107" s="342"/>
    </row>
    <row r="108" spans="2:16" x14ac:dyDescent="0.25">
      <c r="B108" s="342"/>
      <c r="C108" s="342"/>
      <c r="D108" s="342"/>
      <c r="E108" s="342"/>
      <c r="F108" s="342"/>
      <c r="G108" s="342"/>
      <c r="H108" s="342"/>
      <c r="I108" s="342"/>
      <c r="J108" s="342"/>
      <c r="K108" s="342"/>
      <c r="L108" s="342"/>
      <c r="M108" s="342"/>
      <c r="N108" s="342"/>
      <c r="O108" s="342"/>
      <c r="P108" s="342"/>
    </row>
    <row r="109" spans="2:16" x14ac:dyDescent="0.25">
      <c r="B109" s="342"/>
      <c r="C109" s="342"/>
      <c r="D109" s="342"/>
      <c r="E109" s="342"/>
      <c r="F109" s="342"/>
      <c r="G109" s="342"/>
      <c r="H109" s="342"/>
      <c r="I109" s="342"/>
      <c r="J109" s="342"/>
      <c r="K109" s="342"/>
      <c r="L109" s="342"/>
      <c r="M109" s="342"/>
      <c r="N109" s="342"/>
      <c r="O109" s="342"/>
      <c r="P109" s="342"/>
    </row>
    <row r="110" spans="2:16" x14ac:dyDescent="0.25">
      <c r="B110" s="342"/>
      <c r="C110" s="342"/>
      <c r="D110" s="342"/>
      <c r="E110" s="342"/>
      <c r="F110" s="342"/>
      <c r="G110" s="342"/>
      <c r="H110" s="342"/>
      <c r="I110" s="342"/>
      <c r="J110" s="342"/>
      <c r="K110" s="342"/>
      <c r="L110" s="342"/>
      <c r="M110" s="342"/>
      <c r="N110" s="342"/>
      <c r="O110" s="342"/>
      <c r="P110"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85:L85"/>
    <mergeCell ref="M85:V85"/>
    <mergeCell ref="B27:K27"/>
    <mergeCell ref="B74:O74"/>
    <mergeCell ref="Q74:S74"/>
    <mergeCell ref="B75:V75"/>
    <mergeCell ref="S76:U76"/>
    <mergeCell ref="S77:U77"/>
    <mergeCell ref="S78:U78"/>
    <mergeCell ref="S82:U82"/>
    <mergeCell ref="S83:U83"/>
    <mergeCell ref="B86:L86"/>
    <mergeCell ref="N86:P86"/>
    <mergeCell ref="Q86:S86"/>
    <mergeCell ref="U86:V86"/>
    <mergeCell ref="B87:K87"/>
    <mergeCell ref="N87:P87"/>
    <mergeCell ref="Q87:S87"/>
    <mergeCell ref="B88:K88"/>
    <mergeCell ref="N88:P88"/>
    <mergeCell ref="Q88:S88"/>
    <mergeCell ref="B89:K89"/>
    <mergeCell ref="N89:P89"/>
    <mergeCell ref="Q89:S89"/>
    <mergeCell ref="B90:K90"/>
    <mergeCell ref="N90:P90"/>
    <mergeCell ref="Q90:S90"/>
    <mergeCell ref="B91:K91"/>
    <mergeCell ref="N91:P91"/>
    <mergeCell ref="Q91:S91"/>
    <mergeCell ref="B92:L92"/>
    <mergeCell ref="N92:P92"/>
    <mergeCell ref="Q92:S92"/>
    <mergeCell ref="B93:L93"/>
    <mergeCell ref="N93:P93"/>
    <mergeCell ref="Q93:S93"/>
  </mergeCells>
  <pageMargins left="0.511811023622047" right="1.0255905510000001" top="0.511811023622047" bottom="0.47244094488188998" header="0.31496062992126" footer="0.31496062992126"/>
  <pageSetup paperSize="5" scale="71" orientation="landscape" horizontalDpi="4294967293" verticalDpi="4294967293" r:id="rId1"/>
  <rowBreaks count="1" manualBreakCount="1">
    <brk id="49" min="1"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87"/>
  <sheetViews>
    <sheetView view="pageBreakPreview" topLeftCell="A39" zoomScale="67" zoomScaleNormal="70" zoomScaleSheetLayoutView="100" workbookViewId="0">
      <selection activeCell="T34" sqref="T34"/>
    </sheetView>
  </sheetViews>
  <sheetFormatPr defaultColWidth="8.7265625" defaultRowHeight="12.5" x14ac:dyDescent="0.25"/>
  <cols>
    <col min="1" max="2" width="2.81640625" style="341" customWidth="1"/>
    <col min="3" max="4" width="3" style="341" customWidth="1"/>
    <col min="5" max="6" width="3.26953125" style="341" customWidth="1"/>
    <col min="7" max="7" width="2.81640625" style="341" customWidth="1"/>
    <col min="8" max="8" width="2.26953125" style="341" customWidth="1"/>
    <col min="9" max="9" width="2.453125" style="341" customWidth="1"/>
    <col min="10" max="10" width="3.1796875" style="341" customWidth="1"/>
    <col min="11" max="11" width="3" style="341" customWidth="1"/>
    <col min="12" max="12" width="47.1796875" style="341" customWidth="1"/>
    <col min="13" max="13" width="8.81640625" style="341" customWidth="1"/>
    <col min="14" max="14" width="8" style="341" customWidth="1"/>
    <col min="15" max="15" width="15.1796875" style="341" customWidth="1"/>
    <col min="16" max="16" width="20.81640625" style="341" customWidth="1"/>
    <col min="17" max="17" width="9" style="341" customWidth="1"/>
    <col min="18" max="18" width="8" style="341" customWidth="1"/>
    <col min="19" max="19" width="15.1796875" style="341" customWidth="1"/>
    <col min="20" max="20" width="22.81640625" style="341" customWidth="1"/>
    <col min="21" max="21" width="17" style="341" customWidth="1"/>
    <col min="22" max="22" width="15" style="341" customWidth="1"/>
    <col min="23" max="16384" width="8.7265625" style="341"/>
  </cols>
  <sheetData>
    <row r="1" spans="2:24" ht="13" thickBot="1" x14ac:dyDescent="0.3"/>
    <row r="2" spans="2:24" ht="18.75" customHeight="1" thickTop="1" x14ac:dyDescent="0.25">
      <c r="B2" s="7"/>
      <c r="C2" s="8"/>
      <c r="D2" s="8"/>
      <c r="E2" s="8"/>
      <c r="F2" s="8"/>
      <c r="G2" s="8"/>
      <c r="H2" s="8"/>
      <c r="I2" s="8"/>
      <c r="J2" s="2537" t="s">
        <v>278</v>
      </c>
      <c r="K2" s="2537"/>
      <c r="L2" s="2537"/>
      <c r="M2" s="2537"/>
      <c r="N2" s="2537"/>
      <c r="O2" s="2537"/>
      <c r="P2" s="2537"/>
      <c r="Q2" s="2537"/>
      <c r="R2" s="2870"/>
      <c r="S2" s="2669" t="s">
        <v>277</v>
      </c>
      <c r="T2" s="2670"/>
      <c r="U2" s="2537" t="s">
        <v>276</v>
      </c>
      <c r="V2" s="2538"/>
    </row>
    <row r="3" spans="2:24" ht="18" customHeight="1" thickBot="1" x14ac:dyDescent="0.3">
      <c r="B3" s="98"/>
      <c r="C3" s="97"/>
      <c r="D3" s="97"/>
      <c r="E3" s="97"/>
      <c r="F3" s="97"/>
      <c r="G3" s="97"/>
      <c r="H3" s="97"/>
      <c r="I3" s="97"/>
      <c r="J3" s="2539" t="s">
        <v>114</v>
      </c>
      <c r="K3" s="2539"/>
      <c r="L3" s="2539"/>
      <c r="M3" s="2539"/>
      <c r="N3" s="2539"/>
      <c r="O3" s="2539"/>
      <c r="P3" s="2539"/>
      <c r="Q3" s="2539"/>
      <c r="R3" s="2871"/>
      <c r="S3" s="2671" t="s">
        <v>343</v>
      </c>
      <c r="T3" s="2672"/>
      <c r="U3" s="2653" t="s">
        <v>283</v>
      </c>
      <c r="V3" s="2540"/>
    </row>
    <row r="4" spans="2:24" ht="14.25" customHeight="1" x14ac:dyDescent="0.3">
      <c r="B4" s="2654" t="s">
        <v>11</v>
      </c>
      <c r="C4" s="2655"/>
      <c r="D4" s="2655"/>
      <c r="E4" s="2655"/>
      <c r="F4" s="2655"/>
      <c r="G4" s="2655"/>
      <c r="H4" s="2655"/>
      <c r="I4" s="2655"/>
      <c r="J4" s="2655"/>
      <c r="K4" s="2655"/>
      <c r="L4" s="2655"/>
      <c r="M4" s="2655"/>
      <c r="N4" s="2655"/>
      <c r="O4" s="2655"/>
      <c r="P4" s="2655"/>
      <c r="Q4" s="2655"/>
      <c r="R4" s="2655"/>
      <c r="S4" s="2655"/>
      <c r="T4" s="2655"/>
      <c r="U4" s="2655"/>
      <c r="V4" s="2656"/>
    </row>
    <row r="5" spans="2:24" ht="15" customHeight="1" thickBot="1" x14ac:dyDescent="0.35">
      <c r="B5" s="2657" t="str">
        <f>'KOM, SDM&amp;Listrik '!B5:V5</f>
        <v>Tahun Anggaran 2020</v>
      </c>
      <c r="C5" s="2658"/>
      <c r="D5" s="2658"/>
      <c r="E5" s="2658"/>
      <c r="F5" s="2658"/>
      <c r="G5" s="2658"/>
      <c r="H5" s="2658"/>
      <c r="I5" s="2658"/>
      <c r="J5" s="2658"/>
      <c r="K5" s="2658"/>
      <c r="L5" s="2658"/>
      <c r="M5" s="2658"/>
      <c r="N5" s="2658"/>
      <c r="O5" s="2658"/>
      <c r="P5" s="2658"/>
      <c r="Q5" s="2658"/>
      <c r="R5" s="2658"/>
      <c r="S5" s="2658"/>
      <c r="T5" s="2658"/>
      <c r="U5" s="2658"/>
      <c r="V5" s="2659"/>
    </row>
    <row r="6" spans="2:24" ht="19" customHeight="1" x14ac:dyDescent="0.3">
      <c r="B6" s="2660" t="s">
        <v>314</v>
      </c>
      <c r="C6" s="2661"/>
      <c r="D6" s="2661"/>
      <c r="E6" s="2661"/>
      <c r="F6" s="2661"/>
      <c r="G6" s="2661"/>
      <c r="H6" s="2661"/>
      <c r="I6" s="2661"/>
      <c r="J6" s="2661"/>
      <c r="K6" s="2661"/>
      <c r="L6" s="335" t="s">
        <v>241</v>
      </c>
      <c r="M6" s="2661" t="s">
        <v>237</v>
      </c>
      <c r="N6" s="2661"/>
      <c r="O6" s="2661"/>
      <c r="P6" s="2661"/>
      <c r="Q6" s="2661"/>
      <c r="R6" s="2661"/>
      <c r="S6" s="2661"/>
      <c r="T6" s="2661"/>
      <c r="U6" s="2661"/>
      <c r="V6" s="2662"/>
    </row>
    <row r="7" spans="2:24" ht="19" customHeight="1" thickBot="1" x14ac:dyDescent="0.35">
      <c r="B7" s="2663" t="s">
        <v>315</v>
      </c>
      <c r="C7" s="2664"/>
      <c r="D7" s="2664"/>
      <c r="E7" s="2664"/>
      <c r="F7" s="2664"/>
      <c r="G7" s="2664"/>
      <c r="H7" s="2664"/>
      <c r="I7" s="2664"/>
      <c r="J7" s="2664"/>
      <c r="K7" s="2664"/>
      <c r="L7" s="336" t="s">
        <v>240</v>
      </c>
      <c r="M7" s="2665" t="s">
        <v>260</v>
      </c>
      <c r="N7" s="2665"/>
      <c r="O7" s="2665"/>
      <c r="P7" s="2665"/>
      <c r="Q7" s="2665"/>
      <c r="R7" s="2665"/>
      <c r="S7" s="2665"/>
      <c r="T7" s="2665"/>
      <c r="U7" s="2665"/>
      <c r="V7" s="2666"/>
    </row>
    <row r="8" spans="2:24" ht="19" customHeight="1" x14ac:dyDescent="0.3">
      <c r="B8" s="2844" t="s">
        <v>316</v>
      </c>
      <c r="C8" s="2781"/>
      <c r="D8" s="2781"/>
      <c r="E8" s="2781"/>
      <c r="F8" s="2781"/>
      <c r="G8" s="2781"/>
      <c r="H8" s="2781"/>
      <c r="I8" s="2781"/>
      <c r="J8" s="2781"/>
      <c r="K8" s="2781"/>
      <c r="L8" s="339" t="s">
        <v>242</v>
      </c>
      <c r="M8" s="2862" t="s">
        <v>68</v>
      </c>
      <c r="N8" s="2862"/>
      <c r="O8" s="2862"/>
      <c r="P8" s="2862"/>
      <c r="Q8" s="2862"/>
      <c r="R8" s="2862"/>
      <c r="S8" s="2862"/>
      <c r="T8" s="2862"/>
      <c r="U8" s="2862"/>
      <c r="V8" s="2863"/>
    </row>
    <row r="9" spans="2:24" ht="19" customHeight="1" x14ac:dyDescent="0.3">
      <c r="B9" s="2864" t="s">
        <v>318</v>
      </c>
      <c r="C9" s="2865"/>
      <c r="D9" s="2865"/>
      <c r="E9" s="2865"/>
      <c r="F9" s="2865"/>
      <c r="G9" s="2865"/>
      <c r="H9" s="2865"/>
      <c r="I9" s="2865"/>
      <c r="J9" s="2865"/>
      <c r="K9" s="2865"/>
      <c r="L9" s="519" t="s">
        <v>246</v>
      </c>
      <c r="M9" s="2866" t="s">
        <v>76</v>
      </c>
      <c r="N9" s="2866"/>
      <c r="O9" s="2866"/>
      <c r="P9" s="2866"/>
      <c r="Q9" s="2866"/>
      <c r="R9" s="2866"/>
      <c r="S9" s="2866"/>
      <c r="T9" s="2866"/>
      <c r="U9" s="2866"/>
      <c r="V9" s="2867"/>
    </row>
    <row r="10" spans="2:24" ht="19" customHeight="1" x14ac:dyDescent="0.3">
      <c r="B10" s="2844" t="s">
        <v>317</v>
      </c>
      <c r="C10" s="2781"/>
      <c r="D10" s="2781"/>
      <c r="E10" s="2781"/>
      <c r="F10" s="2781"/>
      <c r="G10" s="2781"/>
      <c r="H10" s="2781"/>
      <c r="I10" s="2781"/>
      <c r="J10" s="2781"/>
      <c r="K10" s="2781"/>
      <c r="M10" s="2868" t="str">
        <f>'KOM, SDM&amp;Listrik '!M10:V10</f>
        <v>Januari s/d Desember 2020</v>
      </c>
      <c r="N10" s="2868"/>
      <c r="O10" s="2868"/>
      <c r="P10" s="2868"/>
      <c r="Q10" s="2868"/>
      <c r="R10" s="2868"/>
      <c r="S10" s="2868"/>
      <c r="T10" s="2868"/>
      <c r="U10" s="2868"/>
      <c r="V10" s="2869"/>
    </row>
    <row r="11" spans="2:24" ht="19" customHeight="1" x14ac:dyDescent="0.3">
      <c r="B11" s="2844" t="s">
        <v>319</v>
      </c>
      <c r="C11" s="2781"/>
      <c r="D11" s="2781"/>
      <c r="E11" s="2781"/>
      <c r="F11" s="2781"/>
      <c r="G11" s="2781"/>
      <c r="H11" s="2781"/>
      <c r="I11" s="2781"/>
      <c r="J11" s="2781"/>
      <c r="K11" s="2781"/>
      <c r="M11" s="2845" t="s">
        <v>539</v>
      </c>
      <c r="N11" s="2845"/>
      <c r="O11" s="2845"/>
      <c r="P11" s="2845"/>
      <c r="Q11" s="2845"/>
      <c r="R11" s="2845"/>
      <c r="S11" s="2845"/>
      <c r="T11" s="2845"/>
      <c r="U11" s="2845"/>
      <c r="V11" s="2846"/>
    </row>
    <row r="12" spans="2:24" ht="19" customHeight="1" x14ac:dyDescent="0.3">
      <c r="B12" s="2824" t="s">
        <v>320</v>
      </c>
      <c r="C12" s="2825"/>
      <c r="D12" s="2825"/>
      <c r="E12" s="2825"/>
      <c r="F12" s="2825"/>
      <c r="G12" s="2825"/>
      <c r="H12" s="2825"/>
      <c r="I12" s="2825"/>
      <c r="J12" s="2825"/>
      <c r="K12" s="2825"/>
      <c r="L12" s="2825"/>
      <c r="M12" s="2847" t="s">
        <v>322</v>
      </c>
      <c r="N12" s="2848"/>
      <c r="O12" s="2848"/>
      <c r="P12" s="2848"/>
      <c r="Q12" s="2848"/>
      <c r="R12" s="2848"/>
      <c r="S12" s="2848"/>
      <c r="T12" s="2848"/>
      <c r="U12" s="2848"/>
      <c r="V12" s="2849"/>
    </row>
    <row r="13" spans="2:24" ht="14.25" customHeight="1" x14ac:dyDescent="0.3">
      <c r="B13" s="2850" t="s">
        <v>280</v>
      </c>
      <c r="C13" s="2851"/>
      <c r="D13" s="2851"/>
      <c r="E13" s="2851"/>
      <c r="F13" s="2851"/>
      <c r="G13" s="2851"/>
      <c r="H13" s="2851"/>
      <c r="I13" s="2851"/>
      <c r="J13" s="2851"/>
      <c r="K13" s="2851"/>
      <c r="L13" s="2851"/>
      <c r="M13" s="2851"/>
      <c r="N13" s="2851"/>
      <c r="O13" s="2851"/>
      <c r="P13" s="2851"/>
      <c r="Q13" s="2851"/>
      <c r="R13" s="2851"/>
      <c r="S13" s="2851"/>
      <c r="T13" s="2851"/>
      <c r="U13" s="2851"/>
      <c r="V13" s="2852"/>
    </row>
    <row r="14" spans="2:24" ht="14.25" customHeight="1" x14ac:dyDescent="0.3">
      <c r="B14" s="2853" t="s">
        <v>13</v>
      </c>
      <c r="C14" s="2854"/>
      <c r="D14" s="2854"/>
      <c r="E14" s="2854"/>
      <c r="F14" s="2854"/>
      <c r="G14" s="2854"/>
      <c r="H14" s="2854"/>
      <c r="I14" s="2854"/>
      <c r="J14" s="2854"/>
      <c r="K14" s="2855"/>
      <c r="L14" s="2859" t="s">
        <v>133</v>
      </c>
      <c r="M14" s="2851"/>
      <c r="N14" s="2851"/>
      <c r="O14" s="2851"/>
      <c r="P14" s="2860"/>
      <c r="Q14" s="2713" t="s">
        <v>134</v>
      </c>
      <c r="R14" s="2713"/>
      <c r="S14" s="2713"/>
      <c r="T14" s="2713"/>
      <c r="U14" s="2713"/>
      <c r="V14" s="2861"/>
    </row>
    <row r="15" spans="2:24" ht="14.25" customHeight="1" x14ac:dyDescent="0.3">
      <c r="B15" s="2856"/>
      <c r="C15" s="2857"/>
      <c r="D15" s="2857"/>
      <c r="E15" s="2857"/>
      <c r="F15" s="2857"/>
      <c r="G15" s="2857"/>
      <c r="H15" s="2857"/>
      <c r="I15" s="2857"/>
      <c r="J15" s="2857"/>
      <c r="K15" s="2858"/>
      <c r="L15" s="331" t="s">
        <v>270</v>
      </c>
      <c r="M15" s="2859" t="s">
        <v>281</v>
      </c>
      <c r="N15" s="2851"/>
      <c r="O15" s="2851"/>
      <c r="P15" s="2860"/>
      <c r="Q15" s="2713" t="s">
        <v>270</v>
      </c>
      <c r="R15" s="2713"/>
      <c r="S15" s="2713"/>
      <c r="T15" s="2713" t="s">
        <v>281</v>
      </c>
      <c r="U15" s="2713"/>
      <c r="V15" s="2861"/>
      <c r="W15" s="520"/>
    </row>
    <row r="16" spans="2:24" ht="14.25" customHeight="1" x14ac:dyDescent="0.3">
      <c r="B16" s="2817" t="s">
        <v>14</v>
      </c>
      <c r="C16" s="2818"/>
      <c r="D16" s="2818"/>
      <c r="E16" s="2818"/>
      <c r="F16" s="2818"/>
      <c r="G16" s="2818"/>
      <c r="H16" s="2818"/>
      <c r="I16" s="2818"/>
      <c r="J16" s="2818"/>
      <c r="K16" s="2819"/>
      <c r="L16" s="521" t="s">
        <v>483</v>
      </c>
      <c r="M16" s="2827" t="str">
        <f>L16</f>
        <v xml:space="preserve">Persentase cetak dan penggandaan yang disediakan </v>
      </c>
      <c r="N16" s="2828"/>
      <c r="O16" s="2828"/>
      <c r="P16" s="2829"/>
      <c r="Q16" s="2821">
        <v>1</v>
      </c>
      <c r="R16" s="2822"/>
      <c r="S16" s="2822"/>
      <c r="T16" s="2872">
        <f>Q16</f>
        <v>1</v>
      </c>
      <c r="U16" s="2873"/>
      <c r="V16" s="2874"/>
      <c r="W16" s="522"/>
      <c r="X16" s="523"/>
    </row>
    <row r="17" spans="2:22" ht="14" x14ac:dyDescent="0.3">
      <c r="B17" s="2817" t="s">
        <v>135</v>
      </c>
      <c r="C17" s="2818"/>
      <c r="D17" s="2818"/>
      <c r="E17" s="2818"/>
      <c r="F17" s="2818"/>
      <c r="G17" s="2818"/>
      <c r="H17" s="2818"/>
      <c r="I17" s="2818"/>
      <c r="J17" s="2818"/>
      <c r="K17" s="2819"/>
      <c r="L17" s="524" t="s">
        <v>429</v>
      </c>
      <c r="M17" s="2838" t="str">
        <f>L17</f>
        <v>Jumlah Dana Yang dibutuhkan</v>
      </c>
      <c r="N17" s="2838"/>
      <c r="O17" s="2838"/>
      <c r="P17" s="2838"/>
      <c r="Q17" s="2839">
        <f>P28</f>
        <v>16000100</v>
      </c>
      <c r="R17" s="2840"/>
      <c r="S17" s="2841"/>
      <c r="T17" s="2842">
        <f>T28</f>
        <v>8000050</v>
      </c>
      <c r="U17" s="2842"/>
      <c r="V17" s="2843"/>
    </row>
    <row r="18" spans="2:22" ht="14" x14ac:dyDescent="0.25">
      <c r="B18" s="2834" t="s">
        <v>136</v>
      </c>
      <c r="C18" s="2835"/>
      <c r="D18" s="2835"/>
      <c r="E18" s="2835"/>
      <c r="F18" s="2835"/>
      <c r="G18" s="2835"/>
      <c r="H18" s="2835"/>
      <c r="I18" s="2835"/>
      <c r="J18" s="2835"/>
      <c r="K18" s="2836"/>
      <c r="L18" s="521" t="s">
        <v>484</v>
      </c>
      <c r="M18" s="2820" t="str">
        <f>L18</f>
        <v>Jumlah jenis cetak dan penggandaan yang disediakan</v>
      </c>
      <c r="N18" s="2820"/>
      <c r="O18" s="2820"/>
      <c r="P18" s="2820"/>
      <c r="Q18" s="2616" t="s">
        <v>582</v>
      </c>
      <c r="R18" s="2616"/>
      <c r="S18" s="2616"/>
      <c r="T18" s="2616" t="str">
        <f>Q18</f>
        <v>7 jenis</v>
      </c>
      <c r="U18" s="2616"/>
      <c r="V18" s="2837"/>
    </row>
    <row r="19" spans="2:22" ht="25.5" x14ac:dyDescent="0.3">
      <c r="B19" s="2817" t="s">
        <v>137</v>
      </c>
      <c r="C19" s="2818"/>
      <c r="D19" s="2818"/>
      <c r="E19" s="2818"/>
      <c r="F19" s="2818"/>
      <c r="G19" s="2818"/>
      <c r="H19" s="2818"/>
      <c r="I19" s="2818"/>
      <c r="J19" s="2818"/>
      <c r="K19" s="2819"/>
      <c r="L19" s="525" t="s">
        <v>478</v>
      </c>
      <c r="M19" s="2820" t="str">
        <f>L19</f>
        <v>Tingkat pelayanan administrasi perkantoran yang maksimal</v>
      </c>
      <c r="N19" s="2820"/>
      <c r="O19" s="2820"/>
      <c r="P19" s="2820"/>
      <c r="Q19" s="2821">
        <v>1</v>
      </c>
      <c r="R19" s="2822"/>
      <c r="S19" s="2822"/>
      <c r="T19" s="2821">
        <f>Q19</f>
        <v>1</v>
      </c>
      <c r="U19" s="2822"/>
      <c r="V19" s="2823"/>
    </row>
    <row r="20" spans="2:22" ht="14.25" customHeight="1" x14ac:dyDescent="0.3">
      <c r="B20" s="2824" t="s">
        <v>178</v>
      </c>
      <c r="C20" s="2825"/>
      <c r="D20" s="2825"/>
      <c r="E20" s="2825"/>
      <c r="F20" s="2825"/>
      <c r="G20" s="2825"/>
      <c r="H20" s="2825"/>
      <c r="I20" s="2825"/>
      <c r="J20" s="2825"/>
      <c r="K20" s="2825"/>
      <c r="L20" s="2825"/>
      <c r="M20" s="2825"/>
      <c r="N20" s="2825"/>
      <c r="O20" s="2825"/>
      <c r="P20" s="2825"/>
      <c r="Q20" s="2825"/>
      <c r="R20" s="2825"/>
      <c r="S20" s="2825"/>
      <c r="T20" s="2825"/>
      <c r="U20" s="2825"/>
      <c r="V20" s="2826"/>
    </row>
    <row r="21" spans="2:22" ht="22.5" customHeight="1" thickBot="1" x14ac:dyDescent="0.3">
      <c r="B21" s="2650" t="s">
        <v>282</v>
      </c>
      <c r="C21" s="2651"/>
      <c r="D21" s="2651"/>
      <c r="E21" s="2651"/>
      <c r="F21" s="2651"/>
      <c r="G21" s="2651"/>
      <c r="H21" s="2651"/>
      <c r="I21" s="2651"/>
      <c r="J21" s="2651"/>
      <c r="K21" s="2651"/>
      <c r="L21" s="2651"/>
      <c r="M21" s="2651"/>
      <c r="N21" s="2651"/>
      <c r="O21" s="2651"/>
      <c r="P21" s="2651"/>
      <c r="Q21" s="2651"/>
      <c r="R21" s="2651"/>
      <c r="S21" s="2651"/>
      <c r="T21" s="2651"/>
      <c r="U21" s="2651"/>
      <c r="V21" s="2652"/>
    </row>
    <row r="22" spans="2:22" ht="14.25" customHeight="1" x14ac:dyDescent="0.3">
      <c r="B22" s="2678" t="s">
        <v>12</v>
      </c>
      <c r="C22" s="2679"/>
      <c r="D22" s="2679"/>
      <c r="E22" s="2679"/>
      <c r="F22" s="2679"/>
      <c r="G22" s="2679"/>
      <c r="H22" s="2679"/>
      <c r="I22" s="2679"/>
      <c r="J22" s="2679"/>
      <c r="K22" s="2680"/>
      <c r="L22" s="2648" t="s">
        <v>121</v>
      </c>
      <c r="M22" s="2683" t="s">
        <v>270</v>
      </c>
      <c r="N22" s="2684"/>
      <c r="O22" s="2684"/>
      <c r="P22" s="2684"/>
      <c r="Q22" s="2685" t="s">
        <v>269</v>
      </c>
      <c r="R22" s="2686"/>
      <c r="S22" s="2686"/>
      <c r="T22" s="2686"/>
      <c r="U22" s="2638" t="s">
        <v>272</v>
      </c>
      <c r="V22" s="2639"/>
    </row>
    <row r="23" spans="2:22" ht="12.75" customHeight="1" x14ac:dyDescent="0.25">
      <c r="B23" s="2681"/>
      <c r="C23" s="2595"/>
      <c r="D23" s="2595"/>
      <c r="E23" s="2595"/>
      <c r="F23" s="2595"/>
      <c r="G23" s="2595"/>
      <c r="H23" s="2595"/>
      <c r="I23" s="2595"/>
      <c r="J23" s="2595"/>
      <c r="K23" s="2596"/>
      <c r="L23" s="2648"/>
      <c r="M23" s="2640" t="s">
        <v>125</v>
      </c>
      <c r="N23" s="2641"/>
      <c r="O23" s="2642"/>
      <c r="P23" s="342"/>
      <c r="Q23" s="2643" t="s">
        <v>125</v>
      </c>
      <c r="R23" s="2644"/>
      <c r="S23" s="2645"/>
      <c r="T23" s="420"/>
      <c r="U23" s="2600" t="s">
        <v>205</v>
      </c>
      <c r="V23" s="2646" t="s">
        <v>273</v>
      </c>
    </row>
    <row r="24" spans="2:22" ht="12.75" customHeight="1" x14ac:dyDescent="0.25">
      <c r="B24" s="2681"/>
      <c r="C24" s="2595"/>
      <c r="D24" s="2595"/>
      <c r="E24" s="2595"/>
      <c r="F24" s="2595"/>
      <c r="G24" s="2595"/>
      <c r="H24" s="2595"/>
      <c r="I24" s="2595"/>
      <c r="J24" s="2595"/>
      <c r="K24" s="2596"/>
      <c r="L24" s="2648"/>
      <c r="M24" s="2647" t="s">
        <v>127</v>
      </c>
      <c r="N24" s="2687" t="s">
        <v>8</v>
      </c>
      <c r="O24" s="2687" t="s">
        <v>129</v>
      </c>
      <c r="P24" s="115" t="s">
        <v>122</v>
      </c>
      <c r="Q24" s="2690" t="s">
        <v>127</v>
      </c>
      <c r="R24" s="2693" t="s">
        <v>8</v>
      </c>
      <c r="S24" s="2693" t="s">
        <v>129</v>
      </c>
      <c r="T24" s="89" t="s">
        <v>122</v>
      </c>
      <c r="U24" s="2600"/>
      <c r="V24" s="2646"/>
    </row>
    <row r="25" spans="2:22" ht="12.75" customHeight="1" x14ac:dyDescent="0.25">
      <c r="B25" s="2681"/>
      <c r="C25" s="2595"/>
      <c r="D25" s="2595"/>
      <c r="E25" s="2595"/>
      <c r="F25" s="2595"/>
      <c r="G25" s="2595"/>
      <c r="H25" s="2595"/>
      <c r="I25" s="2595"/>
      <c r="J25" s="2595"/>
      <c r="K25" s="2596"/>
      <c r="L25" s="2648"/>
      <c r="M25" s="2648"/>
      <c r="N25" s="2688"/>
      <c r="O25" s="2688"/>
      <c r="P25" s="115" t="s">
        <v>123</v>
      </c>
      <c r="Q25" s="2691"/>
      <c r="R25" s="2694"/>
      <c r="S25" s="2694"/>
      <c r="T25" s="89" t="s">
        <v>123</v>
      </c>
      <c r="U25" s="2600"/>
      <c r="V25" s="2646"/>
    </row>
    <row r="26" spans="2:22" ht="12.75" customHeight="1" x14ac:dyDescent="0.25">
      <c r="B26" s="2682"/>
      <c r="C26" s="2598"/>
      <c r="D26" s="2598"/>
      <c r="E26" s="2598"/>
      <c r="F26" s="2598"/>
      <c r="G26" s="2598"/>
      <c r="H26" s="2598"/>
      <c r="I26" s="2598"/>
      <c r="J26" s="2598"/>
      <c r="K26" s="2599"/>
      <c r="L26" s="2649"/>
      <c r="M26" s="2649"/>
      <c r="N26" s="2689"/>
      <c r="O26" s="2689"/>
      <c r="P26" s="421"/>
      <c r="Q26" s="2692"/>
      <c r="R26" s="2695"/>
      <c r="S26" s="2695"/>
      <c r="T26" s="422"/>
      <c r="U26" s="2600"/>
      <c r="V26" s="2646"/>
    </row>
    <row r="27" spans="2:22" ht="13" thickBot="1" x14ac:dyDescent="0.3">
      <c r="B27" s="2675">
        <v>1</v>
      </c>
      <c r="C27" s="2676"/>
      <c r="D27" s="2676"/>
      <c r="E27" s="2676"/>
      <c r="F27" s="2676"/>
      <c r="G27" s="2676"/>
      <c r="H27" s="2676"/>
      <c r="I27" s="2676"/>
      <c r="J27" s="2676"/>
      <c r="K27" s="2677"/>
      <c r="L27" s="146">
        <v>2</v>
      </c>
      <c r="M27" s="146">
        <v>3</v>
      </c>
      <c r="N27" s="146">
        <v>4</v>
      </c>
      <c r="O27" s="2">
        <v>5</v>
      </c>
      <c r="P27" s="334" t="s">
        <v>7</v>
      </c>
      <c r="Q27" s="147">
        <v>7</v>
      </c>
      <c r="R27" s="147">
        <v>8</v>
      </c>
      <c r="S27" s="86">
        <v>9</v>
      </c>
      <c r="T27" s="90" t="s">
        <v>275</v>
      </c>
      <c r="U27" s="92" t="s">
        <v>274</v>
      </c>
      <c r="V27" s="93">
        <v>12</v>
      </c>
    </row>
    <row r="28" spans="2:22" ht="13" thickTop="1" x14ac:dyDescent="0.25">
      <c r="B28" s="654">
        <v>1</v>
      </c>
      <c r="C28" s="564" t="s">
        <v>239</v>
      </c>
      <c r="D28" s="564" t="s">
        <v>84</v>
      </c>
      <c r="E28" s="655"/>
      <c r="F28" s="656"/>
      <c r="G28" s="566">
        <v>5</v>
      </c>
      <c r="H28" s="566">
        <v>2</v>
      </c>
      <c r="I28" s="566"/>
      <c r="J28" s="566"/>
      <c r="K28" s="566"/>
      <c r="L28" s="490" t="s">
        <v>54</v>
      </c>
      <c r="M28" s="553"/>
      <c r="N28" s="553"/>
      <c r="O28" s="554"/>
      <c r="P28" s="688">
        <f>P29</f>
        <v>16000100</v>
      </c>
      <c r="Q28" s="553"/>
      <c r="R28" s="553"/>
      <c r="S28" s="554"/>
      <c r="T28" s="688">
        <f>T29</f>
        <v>8000050</v>
      </c>
      <c r="U28" s="526"/>
      <c r="V28" s="425"/>
    </row>
    <row r="29" spans="2:22" x14ac:dyDescent="0.25">
      <c r="B29" s="654">
        <v>1</v>
      </c>
      <c r="C29" s="564" t="s">
        <v>239</v>
      </c>
      <c r="D29" s="564" t="s">
        <v>84</v>
      </c>
      <c r="E29" s="132" t="s">
        <v>84</v>
      </c>
      <c r="F29" s="474"/>
      <c r="G29" s="566"/>
      <c r="H29" s="566"/>
      <c r="I29" s="566"/>
      <c r="J29" s="566"/>
      <c r="K29" s="566"/>
      <c r="L29" s="494" t="s">
        <v>110</v>
      </c>
      <c r="M29" s="491"/>
      <c r="N29" s="491"/>
      <c r="O29" s="492"/>
      <c r="P29" s="689">
        <f>P30</f>
        <v>16000100</v>
      </c>
      <c r="Q29" s="491"/>
      <c r="R29" s="491"/>
      <c r="S29" s="492"/>
      <c r="T29" s="689">
        <f>T30</f>
        <v>8000050</v>
      </c>
      <c r="U29" s="696"/>
      <c r="V29" s="697"/>
    </row>
    <row r="30" spans="2:22" x14ac:dyDescent="0.25">
      <c r="B30" s="654">
        <v>1</v>
      </c>
      <c r="C30" s="564" t="s">
        <v>239</v>
      </c>
      <c r="D30" s="564" t="s">
        <v>84</v>
      </c>
      <c r="E30" s="132" t="s">
        <v>84</v>
      </c>
      <c r="F30" s="570">
        <v>11</v>
      </c>
      <c r="G30" s="566"/>
      <c r="H30" s="566"/>
      <c r="I30" s="566"/>
      <c r="J30" s="566"/>
      <c r="K30" s="564"/>
      <c r="L30" s="494" t="s">
        <v>105</v>
      </c>
      <c r="M30" s="491"/>
      <c r="N30" s="491"/>
      <c r="O30" s="492"/>
      <c r="P30" s="689">
        <f>P32</f>
        <v>16000100</v>
      </c>
      <c r="Q30" s="491"/>
      <c r="R30" s="491"/>
      <c r="S30" s="492"/>
      <c r="T30" s="689">
        <f>T32</f>
        <v>8000050</v>
      </c>
      <c r="U30" s="698"/>
      <c r="V30" s="699"/>
    </row>
    <row r="31" spans="2:22" x14ac:dyDescent="0.25">
      <c r="B31" s="654"/>
      <c r="C31" s="564"/>
      <c r="D31" s="564"/>
      <c r="E31" s="132"/>
      <c r="F31" s="570"/>
      <c r="G31" s="566"/>
      <c r="H31" s="566"/>
      <c r="I31" s="566"/>
      <c r="J31" s="566"/>
      <c r="K31" s="564"/>
      <c r="L31" s="494"/>
      <c r="M31" s="491"/>
      <c r="N31" s="491"/>
      <c r="O31" s="492"/>
      <c r="P31" s="689"/>
      <c r="Q31" s="491"/>
      <c r="R31" s="491"/>
      <c r="S31" s="492"/>
      <c r="T31" s="689"/>
      <c r="U31" s="698"/>
      <c r="V31" s="699"/>
    </row>
    <row r="32" spans="2:22" x14ac:dyDescent="0.25">
      <c r="B32" s="654">
        <v>1</v>
      </c>
      <c r="C32" s="564" t="s">
        <v>239</v>
      </c>
      <c r="D32" s="564" t="s">
        <v>84</v>
      </c>
      <c r="E32" s="132" t="s">
        <v>84</v>
      </c>
      <c r="F32" s="570">
        <v>11</v>
      </c>
      <c r="G32" s="566">
        <v>5</v>
      </c>
      <c r="H32" s="566">
        <v>2</v>
      </c>
      <c r="I32" s="566">
        <v>2</v>
      </c>
      <c r="J32" s="566"/>
      <c r="K32" s="566"/>
      <c r="L32" s="497" t="s">
        <v>64</v>
      </c>
      <c r="M32" s="571"/>
      <c r="N32" s="499"/>
      <c r="O32" s="500"/>
      <c r="P32" s="689">
        <f>P33</f>
        <v>16000100</v>
      </c>
      <c r="Q32" s="571"/>
      <c r="R32" s="499"/>
      <c r="S32" s="500"/>
      <c r="T32" s="689">
        <f>T33</f>
        <v>8000050</v>
      </c>
      <c r="U32" s="698"/>
      <c r="V32" s="699"/>
    </row>
    <row r="33" spans="2:22" x14ac:dyDescent="0.25">
      <c r="B33" s="654">
        <v>1</v>
      </c>
      <c r="C33" s="564" t="s">
        <v>239</v>
      </c>
      <c r="D33" s="564" t="s">
        <v>84</v>
      </c>
      <c r="E33" s="132" t="s">
        <v>84</v>
      </c>
      <c r="F33" s="570">
        <v>11</v>
      </c>
      <c r="G33" s="566">
        <v>5</v>
      </c>
      <c r="H33" s="566">
        <v>2</v>
      </c>
      <c r="I33" s="566">
        <v>2</v>
      </c>
      <c r="J33" s="564" t="s">
        <v>86</v>
      </c>
      <c r="K33" s="566"/>
      <c r="L33" s="494" t="s">
        <v>60</v>
      </c>
      <c r="M33" s="571"/>
      <c r="N33" s="499"/>
      <c r="O33" s="500"/>
      <c r="P33" s="689">
        <f>P34+P48</f>
        <v>16000100</v>
      </c>
      <c r="Q33" s="571"/>
      <c r="R33" s="499"/>
      <c r="S33" s="500"/>
      <c r="T33" s="689">
        <f>T34+T48</f>
        <v>8000050</v>
      </c>
      <c r="U33" s="698"/>
      <c r="V33" s="699"/>
    </row>
    <row r="34" spans="2:22" x14ac:dyDescent="0.25">
      <c r="B34" s="654">
        <v>1</v>
      </c>
      <c r="C34" s="564" t="s">
        <v>239</v>
      </c>
      <c r="D34" s="564" t="s">
        <v>84</v>
      </c>
      <c r="E34" s="132" t="s">
        <v>84</v>
      </c>
      <c r="F34" s="570">
        <v>11</v>
      </c>
      <c r="G34" s="566">
        <v>5</v>
      </c>
      <c r="H34" s="566">
        <v>2</v>
      </c>
      <c r="I34" s="566">
        <v>2</v>
      </c>
      <c r="J34" s="564" t="s">
        <v>86</v>
      </c>
      <c r="K34" s="564" t="s">
        <v>84</v>
      </c>
      <c r="L34" s="490" t="s">
        <v>77</v>
      </c>
      <c r="M34" s="657"/>
      <c r="N34" s="658"/>
      <c r="O34" s="659"/>
      <c r="P34" s="689">
        <f>SUM(P36:P46)+5510</f>
        <v>7500000</v>
      </c>
      <c r="Q34" s="657"/>
      <c r="R34" s="658"/>
      <c r="S34" s="659"/>
      <c r="T34" s="689">
        <f>SUM(T36:T46)+2755</f>
        <v>3750000</v>
      </c>
      <c r="U34" s="698"/>
      <c r="V34" s="699"/>
    </row>
    <row r="35" spans="2:22" x14ac:dyDescent="0.25">
      <c r="B35" s="654"/>
      <c r="C35" s="566"/>
      <c r="D35" s="566"/>
      <c r="E35" s="565"/>
      <c r="F35" s="474"/>
      <c r="G35" s="566"/>
      <c r="H35" s="566"/>
      <c r="I35" s="566"/>
      <c r="J35" s="566"/>
      <c r="K35" s="584"/>
      <c r="L35" s="660" t="s">
        <v>708</v>
      </c>
      <c r="M35" s="661"/>
      <c r="N35" s="508"/>
      <c r="O35" s="662"/>
      <c r="P35" s="690"/>
      <c r="Q35" s="661"/>
      <c r="R35" s="508"/>
      <c r="S35" s="662"/>
      <c r="T35" s="690"/>
      <c r="U35" s="698"/>
      <c r="V35" s="699"/>
    </row>
    <row r="36" spans="2:22" ht="25" x14ac:dyDescent="0.25">
      <c r="B36" s="663"/>
      <c r="C36" s="664"/>
      <c r="D36" s="664"/>
      <c r="E36" s="665"/>
      <c r="F36" s="666"/>
      <c r="G36" s="664"/>
      <c r="H36" s="664"/>
      <c r="I36" s="664"/>
      <c r="J36" s="664"/>
      <c r="K36" s="667"/>
      <c r="L36" s="668" t="s">
        <v>583</v>
      </c>
      <c r="M36" s="616">
        <v>6</v>
      </c>
      <c r="N36" s="616" t="s">
        <v>589</v>
      </c>
      <c r="O36" s="669">
        <v>74460</v>
      </c>
      <c r="P36" s="691">
        <f>O36*M36</f>
        <v>446760</v>
      </c>
      <c r="Q36" s="616">
        <v>3</v>
      </c>
      <c r="R36" s="616" t="s">
        <v>589</v>
      </c>
      <c r="S36" s="669">
        <v>74460</v>
      </c>
      <c r="T36" s="691">
        <f>S36*Q36</f>
        <v>223380</v>
      </c>
      <c r="U36" s="698"/>
      <c r="V36" s="699"/>
    </row>
    <row r="37" spans="2:22" x14ac:dyDescent="0.25">
      <c r="B37" s="670"/>
      <c r="C37" s="671"/>
      <c r="D37" s="671"/>
      <c r="E37" s="672"/>
      <c r="F37" s="671"/>
      <c r="G37" s="673"/>
      <c r="H37" s="673"/>
      <c r="I37" s="673"/>
      <c r="J37" s="673"/>
      <c r="K37" s="672"/>
      <c r="L37" s="668" t="s">
        <v>584</v>
      </c>
      <c r="M37" s="616">
        <v>66</v>
      </c>
      <c r="N37" s="616" t="s">
        <v>590</v>
      </c>
      <c r="O37" s="619">
        <v>3600</v>
      </c>
      <c r="P37" s="691">
        <f>O37*M37</f>
        <v>237600</v>
      </c>
      <c r="Q37" s="616">
        <v>33</v>
      </c>
      <c r="R37" s="616" t="s">
        <v>590</v>
      </c>
      <c r="S37" s="619">
        <v>3600</v>
      </c>
      <c r="T37" s="691">
        <f>S37*Q37</f>
        <v>118800</v>
      </c>
      <c r="U37" s="698"/>
      <c r="V37" s="697"/>
    </row>
    <row r="38" spans="2:22" x14ac:dyDescent="0.25">
      <c r="B38" s="670"/>
      <c r="C38" s="671"/>
      <c r="D38" s="671"/>
      <c r="E38" s="672"/>
      <c r="F38" s="674"/>
      <c r="G38" s="675"/>
      <c r="H38" s="675"/>
      <c r="I38" s="675"/>
      <c r="J38" s="675"/>
      <c r="K38" s="676"/>
      <c r="L38" s="668" t="s">
        <v>709</v>
      </c>
      <c r="M38" s="615"/>
      <c r="N38" s="615"/>
      <c r="O38" s="615"/>
      <c r="P38" s="692"/>
      <c r="Q38" s="615"/>
      <c r="R38" s="615"/>
      <c r="S38" s="615"/>
      <c r="T38" s="692"/>
      <c r="U38" s="527"/>
      <c r="V38" s="643"/>
    </row>
    <row r="39" spans="2:22" x14ac:dyDescent="0.25">
      <c r="B39" s="670"/>
      <c r="C39" s="671"/>
      <c r="D39" s="671"/>
      <c r="E39" s="677"/>
      <c r="F39" s="474"/>
      <c r="G39" s="566"/>
      <c r="H39" s="566"/>
      <c r="I39" s="566"/>
      <c r="J39" s="566"/>
      <c r="K39" s="584"/>
      <c r="L39" s="668" t="s">
        <v>585</v>
      </c>
      <c r="M39" s="616">
        <v>4</v>
      </c>
      <c r="N39" s="616" t="s">
        <v>591</v>
      </c>
      <c r="O39" s="619">
        <v>241070</v>
      </c>
      <c r="P39" s="691">
        <f>O39*M39</f>
        <v>964280</v>
      </c>
      <c r="Q39" s="616">
        <v>2</v>
      </c>
      <c r="R39" s="616" t="s">
        <v>591</v>
      </c>
      <c r="S39" s="619">
        <v>241070</v>
      </c>
      <c r="T39" s="691">
        <f>S39*Q39</f>
        <v>482140</v>
      </c>
      <c r="U39" s="698"/>
      <c r="V39" s="697"/>
    </row>
    <row r="40" spans="2:22" x14ac:dyDescent="0.25">
      <c r="B40" s="670"/>
      <c r="C40" s="671"/>
      <c r="D40" s="671"/>
      <c r="E40" s="677"/>
      <c r="F40" s="474"/>
      <c r="G40" s="566"/>
      <c r="H40" s="566"/>
      <c r="I40" s="566"/>
      <c r="J40" s="566"/>
      <c r="K40" s="584"/>
      <c r="L40" s="668" t="s">
        <v>710</v>
      </c>
      <c r="M40" s="615"/>
      <c r="N40" s="615"/>
      <c r="O40" s="615"/>
      <c r="P40" s="692"/>
      <c r="Q40" s="615"/>
      <c r="R40" s="615"/>
      <c r="S40" s="615"/>
      <c r="T40" s="692"/>
      <c r="U40" s="698"/>
      <c r="V40" s="697"/>
    </row>
    <row r="41" spans="2:22" x14ac:dyDescent="0.25">
      <c r="B41" s="670"/>
      <c r="C41" s="678"/>
      <c r="D41" s="678"/>
      <c r="E41" s="679"/>
      <c r="F41" s="680"/>
      <c r="G41" s="678"/>
      <c r="H41" s="678"/>
      <c r="I41" s="678"/>
      <c r="J41" s="678"/>
      <c r="K41" s="346"/>
      <c r="L41" s="668" t="s">
        <v>586</v>
      </c>
      <c r="M41" s="616">
        <v>14</v>
      </c>
      <c r="N41" s="616" t="s">
        <v>591</v>
      </c>
      <c r="O41" s="619">
        <v>83235</v>
      </c>
      <c r="P41" s="691">
        <f>O41*M41</f>
        <v>1165290</v>
      </c>
      <c r="Q41" s="616">
        <v>7</v>
      </c>
      <c r="R41" s="616" t="s">
        <v>591</v>
      </c>
      <c r="S41" s="619">
        <v>83235</v>
      </c>
      <c r="T41" s="691">
        <f>S41*Q41</f>
        <v>582645</v>
      </c>
      <c r="U41" s="698"/>
      <c r="V41" s="697"/>
    </row>
    <row r="42" spans="2:22" x14ac:dyDescent="0.25">
      <c r="B42" s="670"/>
      <c r="C42" s="678"/>
      <c r="D42" s="678"/>
      <c r="E42" s="679"/>
      <c r="F42" s="680"/>
      <c r="G42" s="678"/>
      <c r="H42" s="678"/>
      <c r="I42" s="678"/>
      <c r="J42" s="678"/>
      <c r="K42" s="346"/>
      <c r="L42" s="668" t="s">
        <v>711</v>
      </c>
      <c r="M42" s="615"/>
      <c r="N42" s="615"/>
      <c r="O42" s="615"/>
      <c r="P42" s="693"/>
      <c r="Q42" s="615"/>
      <c r="R42" s="615"/>
      <c r="S42" s="615"/>
      <c r="T42" s="693"/>
      <c r="U42" s="698"/>
      <c r="V42" s="697"/>
    </row>
    <row r="43" spans="2:22" x14ac:dyDescent="0.25">
      <c r="B43" s="670"/>
      <c r="C43" s="678"/>
      <c r="D43" s="678"/>
      <c r="E43" s="679"/>
      <c r="F43" s="680"/>
      <c r="G43" s="678"/>
      <c r="H43" s="678"/>
      <c r="I43" s="678"/>
      <c r="J43" s="678"/>
      <c r="K43" s="346"/>
      <c r="L43" s="668" t="s">
        <v>585</v>
      </c>
      <c r="M43" s="616">
        <v>8</v>
      </c>
      <c r="N43" s="616" t="s">
        <v>591</v>
      </c>
      <c r="O43" s="619">
        <v>260270</v>
      </c>
      <c r="P43" s="691">
        <f>O43*M43</f>
        <v>2082160</v>
      </c>
      <c r="Q43" s="616">
        <v>4</v>
      </c>
      <c r="R43" s="616" t="s">
        <v>591</v>
      </c>
      <c r="S43" s="619">
        <v>260270</v>
      </c>
      <c r="T43" s="691">
        <f>S43*Q43</f>
        <v>1041080</v>
      </c>
      <c r="U43" s="698"/>
      <c r="V43" s="697"/>
    </row>
    <row r="44" spans="2:22" x14ac:dyDescent="0.25">
      <c r="B44" s="670"/>
      <c r="C44" s="678"/>
      <c r="D44" s="678"/>
      <c r="E44" s="679"/>
      <c r="F44" s="680"/>
      <c r="G44" s="678"/>
      <c r="H44" s="678"/>
      <c r="I44" s="678"/>
      <c r="J44" s="678"/>
      <c r="K44" s="346"/>
      <c r="L44" s="668" t="s">
        <v>712</v>
      </c>
      <c r="M44" s="615"/>
      <c r="N44" s="615"/>
      <c r="O44" s="615"/>
      <c r="P44" s="693"/>
      <c r="Q44" s="615"/>
      <c r="R44" s="615"/>
      <c r="S44" s="615"/>
      <c r="T44" s="693"/>
      <c r="U44" s="698"/>
      <c r="V44" s="697"/>
    </row>
    <row r="45" spans="2:22" ht="25" x14ac:dyDescent="0.25">
      <c r="B45" s="670"/>
      <c r="C45" s="678"/>
      <c r="D45" s="678"/>
      <c r="E45" s="679"/>
      <c r="F45" s="680"/>
      <c r="G45" s="678"/>
      <c r="H45" s="678"/>
      <c r="I45" s="678"/>
      <c r="J45" s="678"/>
      <c r="K45" s="346"/>
      <c r="L45" s="668" t="s">
        <v>587</v>
      </c>
      <c r="M45" s="616">
        <v>30</v>
      </c>
      <c r="N45" s="616" t="s">
        <v>589</v>
      </c>
      <c r="O45" s="619">
        <v>26880</v>
      </c>
      <c r="P45" s="691">
        <f>O45*M45</f>
        <v>806400</v>
      </c>
      <c r="Q45" s="616">
        <v>15</v>
      </c>
      <c r="R45" s="616" t="s">
        <v>589</v>
      </c>
      <c r="S45" s="619">
        <v>26880</v>
      </c>
      <c r="T45" s="691">
        <f>S45*Q45</f>
        <v>403200</v>
      </c>
      <c r="U45" s="698"/>
      <c r="V45" s="697"/>
    </row>
    <row r="46" spans="2:22" x14ac:dyDescent="0.25">
      <c r="B46" s="670"/>
      <c r="C46" s="678"/>
      <c r="D46" s="678"/>
      <c r="E46" s="679"/>
      <c r="F46" s="680"/>
      <c r="G46" s="678"/>
      <c r="H46" s="678"/>
      <c r="I46" s="678"/>
      <c r="J46" s="678"/>
      <c r="K46" s="346"/>
      <c r="L46" s="668" t="s">
        <v>588</v>
      </c>
      <c r="M46" s="616">
        <v>10</v>
      </c>
      <c r="N46" s="616" t="s">
        <v>592</v>
      </c>
      <c r="O46" s="681">
        <v>179200</v>
      </c>
      <c r="P46" s="691">
        <f>O46*M46</f>
        <v>1792000</v>
      </c>
      <c r="Q46" s="616">
        <v>5</v>
      </c>
      <c r="R46" s="616" t="s">
        <v>592</v>
      </c>
      <c r="S46" s="681">
        <v>179200</v>
      </c>
      <c r="T46" s="691">
        <f>S46*Q46</f>
        <v>896000</v>
      </c>
      <c r="U46" s="698"/>
      <c r="V46" s="697"/>
    </row>
    <row r="47" spans="2:22" x14ac:dyDescent="0.25">
      <c r="B47" s="670"/>
      <c r="C47" s="678"/>
      <c r="D47" s="678"/>
      <c r="E47" s="679"/>
      <c r="F47" s="680"/>
      <c r="G47" s="678"/>
      <c r="H47" s="678"/>
      <c r="I47" s="678"/>
      <c r="J47" s="678"/>
      <c r="K47" s="346"/>
      <c r="L47" s="682"/>
      <c r="M47" s="683"/>
      <c r="N47" s="488"/>
      <c r="O47" s="662"/>
      <c r="P47" s="693"/>
      <c r="Q47" s="683"/>
      <c r="R47" s="488"/>
      <c r="S47" s="662"/>
      <c r="T47" s="693"/>
      <c r="U47" s="698"/>
      <c r="V47" s="697"/>
    </row>
    <row r="48" spans="2:22" x14ac:dyDescent="0.25">
      <c r="B48" s="670">
        <v>1</v>
      </c>
      <c r="C48" s="564" t="s">
        <v>239</v>
      </c>
      <c r="D48" s="564" t="s">
        <v>84</v>
      </c>
      <c r="E48" s="684" t="s">
        <v>84</v>
      </c>
      <c r="F48" s="570">
        <v>11</v>
      </c>
      <c r="G48" s="566">
        <v>5</v>
      </c>
      <c r="H48" s="566">
        <v>2</v>
      </c>
      <c r="I48" s="566">
        <v>2</v>
      </c>
      <c r="J48" s="564" t="s">
        <v>86</v>
      </c>
      <c r="K48" s="564" t="s">
        <v>87</v>
      </c>
      <c r="L48" s="494" t="s">
        <v>65</v>
      </c>
      <c r="M48" s="503"/>
      <c r="N48" s="499"/>
      <c r="O48" s="477"/>
      <c r="P48" s="694">
        <f>P49</f>
        <v>8500100</v>
      </c>
      <c r="Q48" s="503"/>
      <c r="R48" s="499"/>
      <c r="S48" s="477"/>
      <c r="T48" s="694">
        <f>T49</f>
        <v>4250050</v>
      </c>
      <c r="U48" s="698"/>
      <c r="V48" s="697"/>
    </row>
    <row r="49" spans="2:23" x14ac:dyDescent="0.25">
      <c r="B49" s="670"/>
      <c r="C49" s="671"/>
      <c r="D49" s="671"/>
      <c r="E49" s="672"/>
      <c r="F49" s="671"/>
      <c r="G49" s="673"/>
      <c r="H49" s="673"/>
      <c r="I49" s="673"/>
      <c r="J49" s="673"/>
      <c r="K49" s="671"/>
      <c r="L49" s="685" t="s">
        <v>713</v>
      </c>
      <c r="M49" s="1648">
        <v>24286</v>
      </c>
      <c r="N49" s="686" t="s">
        <v>58</v>
      </c>
      <c r="O49" s="687">
        <v>350</v>
      </c>
      <c r="P49" s="695">
        <f>O49*M49</f>
        <v>8500100</v>
      </c>
      <c r="Q49" s="1649">
        <v>12143</v>
      </c>
      <c r="R49" s="686" t="s">
        <v>58</v>
      </c>
      <c r="S49" s="687">
        <v>350</v>
      </c>
      <c r="T49" s="695">
        <f>S49*Q49</f>
        <v>4250050</v>
      </c>
      <c r="U49" s="698"/>
      <c r="V49" s="697"/>
    </row>
    <row r="50" spans="2:23" x14ac:dyDescent="0.25">
      <c r="B50" s="47"/>
      <c r="C50" s="6"/>
      <c r="D50" s="6"/>
      <c r="E50" s="48"/>
      <c r="F50" s="48"/>
      <c r="G50" s="5"/>
      <c r="H50" s="5"/>
      <c r="I50" s="116"/>
      <c r="J50" s="6"/>
      <c r="K50" s="6"/>
      <c r="L50" s="595"/>
      <c r="M50" s="596"/>
      <c r="N50" s="596"/>
      <c r="O50" s="597"/>
      <c r="P50" s="598"/>
      <c r="Q50" s="537"/>
      <c r="R50" s="537"/>
      <c r="S50" s="538"/>
      <c r="T50" s="539"/>
      <c r="U50" s="599"/>
      <c r="V50" s="600"/>
    </row>
    <row r="51" spans="2:23" ht="14.5" thickBot="1" x14ac:dyDescent="0.3">
      <c r="B51" s="2730" t="s">
        <v>15</v>
      </c>
      <c r="C51" s="2731"/>
      <c r="D51" s="2731"/>
      <c r="E51" s="2731"/>
      <c r="F51" s="2731"/>
      <c r="G51" s="2731"/>
      <c r="H51" s="2731"/>
      <c r="I51" s="2731"/>
      <c r="J51" s="2731"/>
      <c r="K51" s="2731"/>
      <c r="L51" s="2731"/>
      <c r="M51" s="2731"/>
      <c r="N51" s="2731"/>
      <c r="O51" s="2732"/>
      <c r="P51" s="436">
        <f>P28</f>
        <v>16000100</v>
      </c>
      <c r="Q51" s="2696"/>
      <c r="R51" s="2697"/>
      <c r="S51" s="2698"/>
      <c r="T51" s="437">
        <f>T28</f>
        <v>8000050</v>
      </c>
      <c r="U51" s="438">
        <f>SUM(U28:U49)</f>
        <v>0</v>
      </c>
      <c r="V51" s="439">
        <f>U51/P51*100</f>
        <v>0</v>
      </c>
    </row>
    <row r="52" spans="2:23" ht="13" thickTop="1" x14ac:dyDescent="0.25">
      <c r="B52" s="2699"/>
      <c r="C52" s="2700"/>
      <c r="D52" s="2700"/>
      <c r="E52" s="2700"/>
      <c r="F52" s="2700"/>
      <c r="G52" s="2700"/>
      <c r="H52" s="2700"/>
      <c r="I52" s="2700"/>
      <c r="J52" s="2700"/>
      <c r="K52" s="2700"/>
      <c r="L52" s="2700"/>
      <c r="M52" s="2700"/>
      <c r="N52" s="2700"/>
      <c r="O52" s="2700"/>
      <c r="P52" s="2700"/>
      <c r="Q52" s="2700"/>
      <c r="R52" s="2700"/>
      <c r="S52" s="2700"/>
      <c r="T52" s="2700"/>
      <c r="U52" s="2700"/>
      <c r="V52" s="2701"/>
    </row>
    <row r="53" spans="2:23" ht="12.75" customHeight="1" x14ac:dyDescent="0.25">
      <c r="B53" s="440"/>
      <c r="C53" s="20"/>
      <c r="D53" s="20"/>
      <c r="E53" s="20"/>
      <c r="F53" s="20"/>
      <c r="G53" s="20"/>
      <c r="H53" s="20"/>
      <c r="I53" s="20"/>
      <c r="J53" s="20"/>
      <c r="K53" s="20"/>
      <c r="L53" s="21"/>
      <c r="Q53" s="342"/>
      <c r="S53" s="2702" t="str">
        <f>'KOM, SDM&amp;Listrik '!S45:U45</f>
        <v>Banda Aceh,               2020</v>
      </c>
      <c r="T53" s="2702"/>
      <c r="U53" s="2702"/>
      <c r="V53" s="19"/>
      <c r="W53" s="100"/>
    </row>
    <row r="54" spans="2:23" x14ac:dyDescent="0.25">
      <c r="B54" s="440"/>
      <c r="C54" s="20"/>
      <c r="D54" s="20"/>
      <c r="E54" s="20"/>
      <c r="F54" s="20"/>
      <c r="G54" s="20"/>
      <c r="H54" s="20"/>
      <c r="I54" s="20"/>
      <c r="J54" s="20"/>
      <c r="K54" s="20"/>
      <c r="L54" s="333" t="str">
        <f>'KOM, SDM&amp;Listrik '!L46</f>
        <v>Mengesahkan,</v>
      </c>
      <c r="Q54" s="342"/>
      <c r="S54" s="2703" t="str">
        <f>'KOM, SDM&amp;Listrik '!S46:U46</f>
        <v>Pengguna Anggaran</v>
      </c>
      <c r="T54" s="2703"/>
      <c r="U54" s="2703"/>
      <c r="V54" s="44"/>
      <c r="W54" s="22"/>
    </row>
    <row r="55" spans="2:23" ht="12.75" customHeight="1" x14ac:dyDescent="0.25">
      <c r="B55" s="440"/>
      <c r="C55" s="20"/>
      <c r="D55" s="20"/>
      <c r="E55" s="20"/>
      <c r="F55" s="20"/>
      <c r="G55" s="20"/>
      <c r="H55" s="20"/>
      <c r="I55" s="20"/>
      <c r="J55" s="20"/>
      <c r="K55" s="20"/>
      <c r="L55" s="333" t="str">
        <f>'KOM, SDM&amp;Listrik '!L47</f>
        <v>Pejabat Pengelola Keuangan Daerah</v>
      </c>
      <c r="Q55" s="342"/>
      <c r="S55" s="2703" t="str">
        <f>'KOM, SDM&amp;Listrik '!S47:U47</f>
        <v xml:space="preserve"> Satuan Kerja Perangkat Daerah </v>
      </c>
      <c r="T55" s="2703"/>
      <c r="U55" s="2703"/>
      <c r="V55" s="44"/>
      <c r="W55" s="22"/>
    </row>
    <row r="56" spans="2:23" x14ac:dyDescent="0.25">
      <c r="B56" s="440"/>
      <c r="C56" s="20"/>
      <c r="D56" s="20"/>
      <c r="E56" s="20"/>
      <c r="F56" s="20"/>
      <c r="G56" s="20"/>
      <c r="H56" s="20"/>
      <c r="I56" s="20"/>
      <c r="J56" s="20"/>
      <c r="K56" s="20"/>
      <c r="L56" s="42"/>
      <c r="Q56" s="342"/>
      <c r="S56" s="113"/>
      <c r="T56" s="101"/>
      <c r="U56" s="101"/>
      <c r="V56" s="111"/>
      <c r="W56" s="102"/>
    </row>
    <row r="57" spans="2:23" x14ac:dyDescent="0.25">
      <c r="B57" s="440"/>
      <c r="C57" s="20"/>
      <c r="D57" s="20"/>
      <c r="E57" s="20"/>
      <c r="F57" s="20"/>
      <c r="G57" s="20"/>
      <c r="H57" s="20"/>
      <c r="I57" s="20"/>
      <c r="J57" s="20"/>
      <c r="K57" s="20"/>
      <c r="L57" s="42"/>
      <c r="Q57" s="342"/>
      <c r="S57" s="113"/>
      <c r="T57" s="113"/>
      <c r="U57" s="113"/>
      <c r="V57" s="114"/>
      <c r="W57" s="103"/>
    </row>
    <row r="58" spans="2:23" x14ac:dyDescent="0.25">
      <c r="B58" s="440"/>
      <c r="C58" s="20"/>
      <c r="D58" s="20"/>
      <c r="E58" s="20"/>
      <c r="F58" s="20"/>
      <c r="G58" s="20"/>
      <c r="H58" s="20"/>
      <c r="I58" s="20"/>
      <c r="J58" s="20"/>
      <c r="K58" s="20"/>
      <c r="L58" s="99"/>
      <c r="Q58" s="342"/>
      <c r="S58" s="113"/>
      <c r="T58" s="101"/>
      <c r="U58" s="101"/>
      <c r="V58" s="111"/>
      <c r="W58" s="102"/>
    </row>
    <row r="59" spans="2:23" ht="14" x14ac:dyDescent="0.3">
      <c r="B59" s="440"/>
      <c r="C59" s="20"/>
      <c r="D59" s="20"/>
      <c r="E59" s="20"/>
      <c r="F59" s="20"/>
      <c r="G59" s="20"/>
      <c r="H59" s="20"/>
      <c r="I59" s="20"/>
      <c r="J59" s="20"/>
      <c r="K59" s="20"/>
      <c r="L59" s="112" t="str">
        <f>'KOM, SDM&amp;Listrik '!L51</f>
        <v>M. Iqbal Rokan, S.STP.</v>
      </c>
      <c r="Q59" s="342"/>
      <c r="S59" s="2704" t="str">
        <f>'KOM, SDM&amp;Listrik '!S51:U51</f>
        <v>Bustami, SH</v>
      </c>
      <c r="T59" s="2704"/>
      <c r="U59" s="2704"/>
      <c r="V59" s="45"/>
      <c r="W59" s="104"/>
    </row>
    <row r="60" spans="2:23" x14ac:dyDescent="0.25">
      <c r="B60" s="440"/>
      <c r="C60" s="20"/>
      <c r="D60" s="20"/>
      <c r="E60" s="20"/>
      <c r="F60" s="20"/>
      <c r="G60" s="20"/>
      <c r="H60" s="20"/>
      <c r="I60" s="20"/>
      <c r="J60" s="20"/>
      <c r="K60" s="20"/>
      <c r="L60" s="333" t="str">
        <f>'KOM, SDM&amp;Listrik '!L52</f>
        <v>Nip. 19780505 199810 1 001</v>
      </c>
      <c r="Q60" s="342"/>
      <c r="S60" s="2703" t="str">
        <f>'KOM, SDM&amp;Listrik '!S52:U52</f>
        <v>Pembina Utama Muda / Nip. 196308241987031004</v>
      </c>
      <c r="T60" s="2703"/>
      <c r="U60" s="2703"/>
      <c r="V60" s="44"/>
      <c r="W60" s="22"/>
    </row>
    <row r="61" spans="2:23" x14ac:dyDescent="0.25">
      <c r="B61" s="440"/>
      <c r="C61" s="20"/>
      <c r="D61" s="20"/>
      <c r="E61" s="20"/>
      <c r="F61" s="20"/>
      <c r="G61" s="20"/>
      <c r="H61" s="20"/>
      <c r="I61" s="20"/>
      <c r="J61" s="20"/>
      <c r="K61" s="20"/>
      <c r="L61" s="333"/>
      <c r="Q61" s="342"/>
      <c r="S61" s="333"/>
      <c r="T61" s="333"/>
      <c r="U61" s="333"/>
      <c r="V61" s="441"/>
      <c r="W61" s="21"/>
    </row>
    <row r="62" spans="2:23" ht="14.25" customHeight="1" x14ac:dyDescent="0.25">
      <c r="B62" s="2705" t="s">
        <v>286</v>
      </c>
      <c r="C62" s="2706"/>
      <c r="D62" s="2706"/>
      <c r="E62" s="2706"/>
      <c r="F62" s="2706"/>
      <c r="G62" s="2706"/>
      <c r="H62" s="2706"/>
      <c r="I62" s="2706"/>
      <c r="J62" s="2706"/>
      <c r="K62" s="2706"/>
      <c r="L62" s="2706"/>
      <c r="M62" s="2707" t="s">
        <v>145</v>
      </c>
      <c r="N62" s="2708"/>
      <c r="O62" s="2708"/>
      <c r="P62" s="2708"/>
      <c r="Q62" s="2708"/>
      <c r="R62" s="2708"/>
      <c r="S62" s="2708"/>
      <c r="T62" s="2708"/>
      <c r="U62" s="2708"/>
      <c r="V62" s="2709"/>
    </row>
    <row r="63" spans="2:23" ht="14.25" customHeight="1" x14ac:dyDescent="0.3">
      <c r="B63" s="2710"/>
      <c r="C63" s="2711"/>
      <c r="D63" s="2711"/>
      <c r="E63" s="2711"/>
      <c r="F63" s="2711"/>
      <c r="G63" s="2711"/>
      <c r="H63" s="2711"/>
      <c r="I63" s="2711"/>
      <c r="J63" s="2711"/>
      <c r="K63" s="2711"/>
      <c r="L63" s="2712"/>
      <c r="M63" s="331" t="s">
        <v>142</v>
      </c>
      <c r="N63" s="2713"/>
      <c r="O63" s="2713"/>
      <c r="P63" s="2713"/>
      <c r="Q63" s="2714" t="s">
        <v>143</v>
      </c>
      <c r="R63" s="2714"/>
      <c r="S63" s="2714"/>
      <c r="T63" s="332" t="s">
        <v>144</v>
      </c>
      <c r="U63" s="2714" t="s">
        <v>146</v>
      </c>
      <c r="V63" s="2715"/>
    </row>
    <row r="64" spans="2:23" ht="14.25" customHeight="1" x14ac:dyDescent="0.3">
      <c r="B64" s="2716" t="s">
        <v>293</v>
      </c>
      <c r="C64" s="2717"/>
      <c r="D64" s="2717"/>
      <c r="E64" s="2717"/>
      <c r="F64" s="2717"/>
      <c r="G64" s="2717"/>
      <c r="H64" s="2717"/>
      <c r="I64" s="2717"/>
      <c r="J64" s="2717"/>
      <c r="K64" s="2717"/>
      <c r="L64" s="107">
        <v>0</v>
      </c>
      <c r="M64" s="118">
        <v>1</v>
      </c>
      <c r="N64" s="2718" t="str">
        <f>'KOM, SDM&amp;Listrik '!N56:P56</f>
        <v>Weri, SE. MA</v>
      </c>
      <c r="O64" s="2719"/>
      <c r="P64" s="2719"/>
      <c r="Q64" s="2720" t="str">
        <f>'KOM, SDM&amp;Listrik '!Q56:S56</f>
        <v>19640525 198903 1 026</v>
      </c>
      <c r="R64" s="2721"/>
      <c r="S64" s="2722"/>
      <c r="T64" s="109" t="s">
        <v>302</v>
      </c>
      <c r="U64" s="442" t="s">
        <v>287</v>
      </c>
      <c r="V64" s="443"/>
    </row>
    <row r="65" spans="2:22" ht="14" x14ac:dyDescent="0.3">
      <c r="B65" s="2716" t="s">
        <v>294</v>
      </c>
      <c r="C65" s="2717"/>
      <c r="D65" s="2717"/>
      <c r="E65" s="2717"/>
      <c r="F65" s="2717"/>
      <c r="G65" s="2717"/>
      <c r="H65" s="2717"/>
      <c r="I65" s="2717"/>
      <c r="J65" s="2717"/>
      <c r="K65" s="2717"/>
      <c r="L65" s="107">
        <v>0</v>
      </c>
      <c r="M65" s="118">
        <v>2</v>
      </c>
      <c r="N65" s="2723" t="str">
        <f>'KOM, SDM&amp;Listrik '!N57:P57</f>
        <v>Azmi, SH</v>
      </c>
      <c r="O65" s="2724"/>
      <c r="P65" s="2724"/>
      <c r="Q65" s="2720" t="str">
        <f>'KOM, SDM&amp;Listrik '!Q57:S57</f>
        <v>19680824 199903 1 004</v>
      </c>
      <c r="R65" s="2721"/>
      <c r="S65" s="2722"/>
      <c r="T65" s="109" t="s">
        <v>303</v>
      </c>
      <c r="U65" s="444"/>
      <c r="V65" s="445" t="s">
        <v>128</v>
      </c>
    </row>
    <row r="66" spans="2:22" ht="14" x14ac:dyDescent="0.3">
      <c r="B66" s="2716" t="s">
        <v>295</v>
      </c>
      <c r="C66" s="2717"/>
      <c r="D66" s="2717"/>
      <c r="E66" s="2717"/>
      <c r="F66" s="2717"/>
      <c r="G66" s="2717"/>
      <c r="H66" s="2717"/>
      <c r="I66" s="2717"/>
      <c r="J66" s="2717"/>
      <c r="K66" s="2717"/>
      <c r="L66" s="107">
        <v>0</v>
      </c>
      <c r="M66" s="117">
        <v>3</v>
      </c>
      <c r="N66" s="2723" t="str">
        <f>'KOM, SDM&amp;Listrik '!N58:P58</f>
        <v>Muhammad Syaifuddin Ambia, ST, MT</v>
      </c>
      <c r="O66" s="2724"/>
      <c r="P66" s="2724"/>
      <c r="Q66" s="2720" t="str">
        <f>'KOM, SDM&amp;Listrik '!Q58:S58</f>
        <v>19741010 200604 1 003</v>
      </c>
      <c r="R66" s="2721"/>
      <c r="S66" s="2722"/>
      <c r="T66" s="109" t="s">
        <v>304</v>
      </c>
      <c r="U66" s="446" t="s">
        <v>292</v>
      </c>
      <c r="V66" s="443"/>
    </row>
    <row r="67" spans="2:22" ht="15" customHeight="1" x14ac:dyDescent="0.3">
      <c r="B67" s="2716" t="s">
        <v>296</v>
      </c>
      <c r="C67" s="2717"/>
      <c r="D67" s="2717"/>
      <c r="E67" s="2717"/>
      <c r="F67" s="2717"/>
      <c r="G67" s="2717"/>
      <c r="H67" s="2717"/>
      <c r="I67" s="2717"/>
      <c r="J67" s="2717"/>
      <c r="K67" s="2717"/>
      <c r="L67" s="107">
        <v>0</v>
      </c>
      <c r="M67" s="118">
        <v>4</v>
      </c>
      <c r="N67" s="2723" t="str">
        <f>'KOM, SDM&amp;Listrik '!N59:P59</f>
        <v>Basri, SE, M.Si</v>
      </c>
      <c r="O67" s="2724"/>
      <c r="P67" s="2724"/>
      <c r="Q67" s="2720" t="str">
        <f>'KOM, SDM&amp;Listrik '!Q59:S59</f>
        <v>19691213 199403 1 002</v>
      </c>
      <c r="R67" s="2721"/>
      <c r="S67" s="2722"/>
      <c r="T67" s="109" t="s">
        <v>305</v>
      </c>
      <c r="U67" s="444"/>
      <c r="V67" s="445" t="s">
        <v>288</v>
      </c>
    </row>
    <row r="68" spans="2:22" ht="14" x14ac:dyDescent="0.3">
      <c r="B68" s="2716" t="s">
        <v>297</v>
      </c>
      <c r="C68" s="2717"/>
      <c r="D68" s="2717"/>
      <c r="E68" s="2717"/>
      <c r="F68" s="2717"/>
      <c r="G68" s="2717"/>
      <c r="H68" s="2717"/>
      <c r="I68" s="2717"/>
      <c r="J68" s="2717"/>
      <c r="K68" s="2717"/>
      <c r="L68" s="108">
        <f>SUM(L64:L67)</f>
        <v>0</v>
      </c>
      <c r="M68" s="105">
        <v>5</v>
      </c>
      <c r="N68" s="2723" t="str">
        <f>'KOM, SDM&amp;Listrik '!N60:P60</f>
        <v>Dewi Shinta Reza, SE. Ak</v>
      </c>
      <c r="O68" s="2724"/>
      <c r="P68" s="2724"/>
      <c r="Q68" s="2720" t="str">
        <f>'KOM, SDM&amp;Listrik '!Q60:S60</f>
        <v>19750630 200212 2 003</v>
      </c>
      <c r="R68" s="2721"/>
      <c r="S68" s="2722"/>
      <c r="T68" s="109" t="s">
        <v>306</v>
      </c>
      <c r="U68" s="446" t="s">
        <v>289</v>
      </c>
      <c r="V68" s="443"/>
    </row>
    <row r="69" spans="2:22" ht="13.5" customHeight="1" x14ac:dyDescent="0.3">
      <c r="B69" s="2710"/>
      <c r="C69" s="2711"/>
      <c r="D69" s="2711"/>
      <c r="E69" s="2711"/>
      <c r="F69" s="2711"/>
      <c r="G69" s="2711"/>
      <c r="H69" s="2711"/>
      <c r="I69" s="2711"/>
      <c r="J69" s="2711"/>
      <c r="K69" s="2711"/>
      <c r="L69" s="2712"/>
      <c r="M69" s="105">
        <v>6</v>
      </c>
      <c r="N69" s="2718" t="str">
        <f>'KOM, SDM&amp;Listrik '!N61:P61</f>
        <v>Harisman, S.STP, M.Ec.Dev</v>
      </c>
      <c r="O69" s="2719"/>
      <c r="P69" s="2719"/>
      <c r="Q69" s="2720" t="str">
        <f>'KOM, SDM&amp;Listrik '!Q61:S61</f>
        <v>19830101 200112 1 003</v>
      </c>
      <c r="R69" s="2721"/>
      <c r="S69" s="2722"/>
      <c r="T69" s="109" t="s">
        <v>307</v>
      </c>
      <c r="U69" s="444"/>
      <c r="V69" s="445" t="s">
        <v>290</v>
      </c>
    </row>
    <row r="70" spans="2:22" ht="14.5" thickBot="1" x14ac:dyDescent="0.35">
      <c r="B70" s="2725"/>
      <c r="C70" s="2726"/>
      <c r="D70" s="2726"/>
      <c r="E70" s="2726"/>
      <c r="F70" s="2726"/>
      <c r="G70" s="2726"/>
      <c r="H70" s="2726"/>
      <c r="I70" s="2726"/>
      <c r="J70" s="2726"/>
      <c r="K70" s="2726"/>
      <c r="L70" s="2727"/>
      <c r="M70" s="106">
        <v>7</v>
      </c>
      <c r="N70" s="2728" t="str">
        <f>'KOM, SDM&amp;Listrik '!N62:P62</f>
        <v>Alriandi, S.STP, M.Si</v>
      </c>
      <c r="O70" s="2729"/>
      <c r="P70" s="2729"/>
      <c r="Q70" s="2733" t="str">
        <f>'KOM, SDM&amp;Listrik '!Q62:S62</f>
        <v>19830308 200112 1 001</v>
      </c>
      <c r="R70" s="2734"/>
      <c r="S70" s="2735"/>
      <c r="T70" s="110" t="s">
        <v>308</v>
      </c>
      <c r="U70" s="447" t="s">
        <v>291</v>
      </c>
      <c r="V70" s="448"/>
    </row>
    <row r="71" spans="2:22" ht="13" thickTop="1" x14ac:dyDescent="0.25">
      <c r="B71" s="342"/>
      <c r="C71" s="342"/>
      <c r="D71" s="342"/>
      <c r="E71" s="342"/>
      <c r="F71" s="342"/>
      <c r="G71" s="342"/>
      <c r="H71" s="342"/>
      <c r="I71" s="342"/>
      <c r="J71" s="342"/>
      <c r="K71" s="342"/>
      <c r="L71" s="342"/>
      <c r="M71" s="342"/>
      <c r="N71" s="342"/>
      <c r="O71" s="342"/>
      <c r="P71" s="342"/>
    </row>
    <row r="72" spans="2:22" x14ac:dyDescent="0.25">
      <c r="B72" s="342"/>
      <c r="C72" s="342"/>
      <c r="D72" s="342"/>
      <c r="E72" s="342"/>
      <c r="F72" s="342"/>
      <c r="G72" s="342"/>
      <c r="H72" s="342"/>
      <c r="I72" s="342"/>
      <c r="J72" s="342"/>
      <c r="K72" s="342"/>
      <c r="L72" s="342"/>
      <c r="M72" s="342"/>
      <c r="N72" s="342"/>
      <c r="O72" s="342"/>
      <c r="P72" s="342"/>
    </row>
    <row r="73" spans="2:22" x14ac:dyDescent="0.25">
      <c r="B73" s="342"/>
      <c r="C73" s="342"/>
      <c r="D73" s="342"/>
      <c r="E73" s="342"/>
      <c r="F73" s="342"/>
      <c r="G73" s="342"/>
      <c r="H73" s="342"/>
      <c r="I73" s="342"/>
      <c r="J73" s="342"/>
      <c r="K73" s="342"/>
      <c r="L73" s="342"/>
      <c r="M73" s="342"/>
      <c r="N73" s="342"/>
      <c r="O73" s="342"/>
      <c r="P73" s="342"/>
    </row>
    <row r="74" spans="2:22" x14ac:dyDescent="0.25">
      <c r="B74" s="342"/>
      <c r="C74" s="342"/>
      <c r="D74" s="342"/>
      <c r="E74" s="342"/>
      <c r="F74" s="342"/>
      <c r="G74" s="342"/>
      <c r="H74" s="342"/>
      <c r="I74" s="342"/>
      <c r="J74" s="342"/>
      <c r="K74" s="342"/>
      <c r="L74" s="342"/>
      <c r="M74" s="342"/>
      <c r="N74" s="342"/>
      <c r="O74" s="342"/>
      <c r="P74" s="342"/>
    </row>
    <row r="75" spans="2:22" x14ac:dyDescent="0.25">
      <c r="B75" s="342"/>
      <c r="C75" s="342"/>
      <c r="D75" s="342"/>
      <c r="E75" s="342"/>
      <c r="F75" s="342"/>
      <c r="G75" s="342"/>
      <c r="H75" s="342"/>
      <c r="I75" s="342"/>
      <c r="J75" s="342"/>
      <c r="K75" s="342"/>
      <c r="L75" s="342"/>
      <c r="M75" s="342"/>
      <c r="N75" s="342"/>
      <c r="O75" s="342"/>
      <c r="P75" s="342"/>
    </row>
    <row r="76" spans="2:22" x14ac:dyDescent="0.25">
      <c r="B76" s="342"/>
      <c r="C76" s="342"/>
      <c r="D76" s="342"/>
      <c r="E76" s="342"/>
      <c r="F76" s="342"/>
      <c r="G76" s="342"/>
      <c r="H76" s="342"/>
      <c r="I76" s="342"/>
      <c r="J76" s="342"/>
      <c r="K76" s="342"/>
      <c r="L76" s="342"/>
      <c r="M76" s="342"/>
      <c r="N76" s="342"/>
      <c r="O76" s="342"/>
      <c r="P76" s="342"/>
    </row>
    <row r="77" spans="2:22" x14ac:dyDescent="0.25">
      <c r="B77" s="342"/>
      <c r="C77" s="342"/>
      <c r="D77" s="342"/>
      <c r="E77" s="342"/>
      <c r="F77" s="342"/>
      <c r="G77" s="342"/>
      <c r="H77" s="342"/>
      <c r="I77" s="342"/>
      <c r="J77" s="342"/>
      <c r="K77" s="342"/>
      <c r="L77" s="342"/>
      <c r="M77" s="342"/>
      <c r="N77" s="342"/>
      <c r="O77" s="342"/>
      <c r="P77" s="342"/>
    </row>
    <row r="78" spans="2:22" x14ac:dyDescent="0.25">
      <c r="B78" s="342"/>
      <c r="C78" s="342"/>
      <c r="D78" s="342"/>
      <c r="E78" s="342"/>
      <c r="F78" s="342"/>
      <c r="G78" s="342"/>
      <c r="H78" s="342"/>
      <c r="I78" s="342"/>
      <c r="J78" s="342"/>
      <c r="K78" s="342"/>
      <c r="L78" s="342"/>
      <c r="M78" s="342"/>
      <c r="N78" s="342"/>
      <c r="O78" s="342"/>
      <c r="P78" s="342"/>
    </row>
    <row r="79" spans="2:22" x14ac:dyDescent="0.25">
      <c r="B79" s="342"/>
      <c r="C79" s="342"/>
      <c r="D79" s="342"/>
      <c r="E79" s="342"/>
      <c r="F79" s="342"/>
      <c r="G79" s="342"/>
      <c r="H79" s="342"/>
      <c r="I79" s="342"/>
      <c r="J79" s="342"/>
      <c r="K79" s="342"/>
      <c r="L79" s="342"/>
      <c r="M79" s="342"/>
      <c r="N79" s="342"/>
      <c r="O79" s="342"/>
      <c r="P79" s="342"/>
    </row>
    <row r="80" spans="2:22" x14ac:dyDescent="0.25">
      <c r="B80" s="342"/>
      <c r="C80" s="342"/>
      <c r="D80" s="342"/>
      <c r="E80" s="342"/>
      <c r="F80" s="342"/>
      <c r="G80" s="342"/>
      <c r="H80" s="342"/>
      <c r="I80" s="342"/>
      <c r="J80" s="342"/>
      <c r="K80" s="342"/>
      <c r="L80" s="342"/>
      <c r="M80" s="342"/>
      <c r="N80" s="342"/>
      <c r="O80" s="342"/>
      <c r="P80" s="342"/>
    </row>
    <row r="81" spans="2:16" x14ac:dyDescent="0.25">
      <c r="B81" s="342"/>
      <c r="C81" s="342"/>
      <c r="D81" s="342"/>
      <c r="E81" s="342"/>
      <c r="F81" s="342"/>
      <c r="G81" s="342"/>
      <c r="H81" s="342"/>
      <c r="I81" s="342"/>
      <c r="J81" s="342"/>
      <c r="K81" s="342"/>
      <c r="L81" s="342"/>
      <c r="M81" s="342"/>
      <c r="N81" s="342"/>
      <c r="O81" s="342"/>
      <c r="P81" s="342"/>
    </row>
    <row r="82" spans="2:16" x14ac:dyDescent="0.25">
      <c r="B82" s="342"/>
      <c r="C82" s="342"/>
      <c r="D82" s="342"/>
      <c r="E82" s="342"/>
      <c r="F82" s="342"/>
      <c r="G82" s="342"/>
      <c r="H82" s="342"/>
      <c r="I82" s="342"/>
      <c r="J82" s="342"/>
      <c r="K82" s="342"/>
      <c r="L82" s="342"/>
      <c r="M82" s="342"/>
      <c r="N82" s="342"/>
      <c r="O82" s="342"/>
      <c r="P82" s="342"/>
    </row>
    <row r="83" spans="2:16" x14ac:dyDescent="0.25">
      <c r="B83" s="342"/>
      <c r="C83" s="342"/>
      <c r="D83" s="342"/>
      <c r="E83" s="342"/>
      <c r="F83" s="342"/>
      <c r="G83" s="342"/>
      <c r="H83" s="342"/>
      <c r="I83" s="342"/>
      <c r="J83" s="342"/>
      <c r="K83" s="342"/>
      <c r="L83" s="342"/>
      <c r="M83" s="342"/>
      <c r="N83" s="342"/>
      <c r="O83" s="342"/>
      <c r="P83" s="342"/>
    </row>
    <row r="84" spans="2:16" x14ac:dyDescent="0.25">
      <c r="B84" s="342"/>
      <c r="C84" s="342"/>
      <c r="D84" s="342"/>
      <c r="E84" s="342"/>
      <c r="F84" s="342"/>
      <c r="G84" s="342"/>
      <c r="H84" s="342"/>
      <c r="I84" s="342"/>
      <c r="J84" s="342"/>
      <c r="K84" s="342"/>
      <c r="L84" s="342"/>
      <c r="M84" s="342"/>
      <c r="N84" s="342"/>
      <c r="O84" s="342"/>
      <c r="P84" s="342"/>
    </row>
    <row r="85" spans="2:16" x14ac:dyDescent="0.25">
      <c r="B85" s="342"/>
      <c r="C85" s="342"/>
      <c r="D85" s="342"/>
      <c r="E85" s="342"/>
      <c r="F85" s="342"/>
      <c r="G85" s="342"/>
      <c r="H85" s="342"/>
      <c r="I85" s="342"/>
      <c r="J85" s="342"/>
      <c r="K85" s="342"/>
      <c r="L85" s="342"/>
      <c r="M85" s="342"/>
      <c r="N85" s="342"/>
      <c r="O85" s="342"/>
      <c r="P85" s="342"/>
    </row>
    <row r="86" spans="2:16" x14ac:dyDescent="0.25">
      <c r="B86" s="342"/>
      <c r="C86" s="342"/>
      <c r="D86" s="342"/>
      <c r="E86" s="342"/>
      <c r="F86" s="342"/>
      <c r="G86" s="342"/>
      <c r="H86" s="342"/>
      <c r="I86" s="342"/>
      <c r="J86" s="342"/>
      <c r="K86" s="342"/>
      <c r="L86" s="342"/>
      <c r="M86" s="342"/>
      <c r="N86" s="342"/>
      <c r="O86" s="342"/>
      <c r="P86" s="342"/>
    </row>
    <row r="87" spans="2:16" x14ac:dyDescent="0.25">
      <c r="B87" s="342"/>
      <c r="C87" s="342"/>
      <c r="D87" s="342"/>
      <c r="E87" s="342"/>
      <c r="F87" s="342"/>
      <c r="G87" s="342"/>
      <c r="H87" s="342"/>
      <c r="I87" s="342"/>
      <c r="J87" s="342"/>
      <c r="K87" s="342"/>
      <c r="L87" s="342"/>
      <c r="M87" s="342"/>
      <c r="N87" s="342"/>
      <c r="O87" s="342"/>
      <c r="P87" s="342"/>
    </row>
  </sheetData>
  <mergeCells count="98">
    <mergeCell ref="J2:R2"/>
    <mergeCell ref="S2:T2"/>
    <mergeCell ref="U2:V2"/>
    <mergeCell ref="J3:R3"/>
    <mergeCell ref="S3:T3"/>
    <mergeCell ref="U3:V3"/>
    <mergeCell ref="B4:V4"/>
    <mergeCell ref="B5:V5"/>
    <mergeCell ref="B6:K6"/>
    <mergeCell ref="M6:V6"/>
    <mergeCell ref="B7:K7"/>
    <mergeCell ref="M7:V7"/>
    <mergeCell ref="B8:K8"/>
    <mergeCell ref="M8:V8"/>
    <mergeCell ref="B9:K9"/>
    <mergeCell ref="M9:V9"/>
    <mergeCell ref="B10:K10"/>
    <mergeCell ref="M10:V10"/>
    <mergeCell ref="B14:K15"/>
    <mergeCell ref="L14:P14"/>
    <mergeCell ref="Q14:V14"/>
    <mergeCell ref="M15:P15"/>
    <mergeCell ref="Q15:S15"/>
    <mergeCell ref="T15:V15"/>
    <mergeCell ref="B11:K11"/>
    <mergeCell ref="M11:V11"/>
    <mergeCell ref="B12:L12"/>
    <mergeCell ref="M12:V12"/>
    <mergeCell ref="B13:V13"/>
    <mergeCell ref="M16:P16"/>
    <mergeCell ref="Q16:S16"/>
    <mergeCell ref="T16:V16"/>
    <mergeCell ref="B18:K18"/>
    <mergeCell ref="M18:P18"/>
    <mergeCell ref="Q18:S18"/>
    <mergeCell ref="T18:V18"/>
    <mergeCell ref="B17:K17"/>
    <mergeCell ref="M17:P17"/>
    <mergeCell ref="Q17:S17"/>
    <mergeCell ref="T17:V17"/>
    <mergeCell ref="B16:K16"/>
    <mergeCell ref="B19:K19"/>
    <mergeCell ref="M19:P19"/>
    <mergeCell ref="Q19:S19"/>
    <mergeCell ref="T19:V19"/>
    <mergeCell ref="B20:V20"/>
    <mergeCell ref="B21:V21"/>
    <mergeCell ref="B22:K26"/>
    <mergeCell ref="L22:L26"/>
    <mergeCell ref="M22:P22"/>
    <mergeCell ref="Q22:T22"/>
    <mergeCell ref="U22:V22"/>
    <mergeCell ref="M23:O23"/>
    <mergeCell ref="Q23:S23"/>
    <mergeCell ref="U23:U26"/>
    <mergeCell ref="V23:V26"/>
    <mergeCell ref="M24:M26"/>
    <mergeCell ref="N24:N26"/>
    <mergeCell ref="O24:O26"/>
    <mergeCell ref="Q24:Q26"/>
    <mergeCell ref="R24:R26"/>
    <mergeCell ref="S24:S26"/>
    <mergeCell ref="B62:L62"/>
    <mergeCell ref="M62:V62"/>
    <mergeCell ref="B27:K27"/>
    <mergeCell ref="B51:O51"/>
    <mergeCell ref="Q51:S51"/>
    <mergeCell ref="B52:V52"/>
    <mergeCell ref="S53:U53"/>
    <mergeCell ref="S54:U54"/>
    <mergeCell ref="S55:U55"/>
    <mergeCell ref="S59:U59"/>
    <mergeCell ref="S60:U60"/>
    <mergeCell ref="B63:L63"/>
    <mergeCell ref="N63:P63"/>
    <mergeCell ref="Q63:S63"/>
    <mergeCell ref="U63:V63"/>
    <mergeCell ref="B64:K64"/>
    <mergeCell ref="N64:P64"/>
    <mergeCell ref="Q64:S64"/>
    <mergeCell ref="B65:K65"/>
    <mergeCell ref="N65:P65"/>
    <mergeCell ref="Q65:S65"/>
    <mergeCell ref="B66:K66"/>
    <mergeCell ref="N66:P66"/>
    <mergeCell ref="Q66:S66"/>
    <mergeCell ref="B67:K67"/>
    <mergeCell ref="N67:P67"/>
    <mergeCell ref="Q67:S67"/>
    <mergeCell ref="B68:K68"/>
    <mergeCell ref="N68:P68"/>
    <mergeCell ref="Q68:S68"/>
    <mergeCell ref="B69:L69"/>
    <mergeCell ref="N69:P69"/>
    <mergeCell ref="Q69:S69"/>
    <mergeCell ref="B70:L70"/>
    <mergeCell ref="N70:P70"/>
    <mergeCell ref="Q70:S70"/>
  </mergeCells>
  <pageMargins left="0.511811023622047" right="1.0255905510000001" top="0.511811023622047" bottom="0.47244094488188998" header="0.31496062992126" footer="0.31496062992126"/>
  <pageSetup paperSize="5" scale="65"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1</vt:i4>
      </vt:variant>
      <vt:variant>
        <vt:lpstr>Named Ranges</vt:lpstr>
      </vt:variant>
      <vt:variant>
        <vt:i4>31</vt:i4>
      </vt:variant>
    </vt:vector>
  </HeadingPairs>
  <TitlesOfParts>
    <vt:vector size="63" baseType="lpstr">
      <vt:lpstr>coper</vt:lpstr>
      <vt:lpstr>LampA</vt:lpstr>
      <vt:lpstr>RECAP APBD</vt:lpstr>
      <vt:lpstr>Rutin BTL</vt:lpstr>
      <vt:lpstr>RECAP KEGIATAN BL</vt:lpstr>
      <vt:lpstr>KOM, SDM&amp;Listrik </vt:lpstr>
      <vt:lpstr>Js Kbr Ktr </vt:lpstr>
      <vt:lpstr>ATK </vt:lpstr>
      <vt:lpstr>Cetak dan Penggandaan</vt:lpstr>
      <vt:lpstr>Inslsi Lstrik Ktr</vt:lpstr>
      <vt:lpstr>Mkan Mnum</vt:lpstr>
      <vt:lpstr>Rapat Luar Daerah</vt:lpstr>
      <vt:lpstr>Honor Non PNS</vt:lpstr>
      <vt:lpstr>Pengadaan Peraltan</vt:lpstr>
      <vt:lpstr>Pemel Kend Dinas </vt:lpstr>
      <vt:lpstr>Pemel PRLTN GDG KTR </vt:lpstr>
      <vt:lpstr>Statistik Survey Sektoral</vt:lpstr>
      <vt:lpstr>Baju PDH</vt:lpstr>
      <vt:lpstr>Statistik Survey Sektoral2</vt:lpstr>
      <vt:lpstr>Statistik Forum Data</vt:lpstr>
      <vt:lpstr>Smart Warnet</vt:lpstr>
      <vt:lpstr>Smart UUD40</vt:lpstr>
      <vt:lpstr>E-Gov Infrastruktur</vt:lpstr>
      <vt:lpstr>E-Gov Aplikasi</vt:lpstr>
      <vt:lpstr>Smart Suwarga</vt:lpstr>
      <vt:lpstr>Smart Pelatihan Pers</vt:lpstr>
      <vt:lpstr>PPID&amp;Propaganda</vt:lpstr>
      <vt:lpstr>Desiminasi Info</vt:lpstr>
      <vt:lpstr>KIG</vt:lpstr>
      <vt:lpstr>Sheet1</vt:lpstr>
      <vt:lpstr>Compatibility Report</vt:lpstr>
      <vt:lpstr>Chart1</vt:lpstr>
      <vt:lpstr>'ATK '!Print_Area</vt:lpstr>
      <vt:lpstr>'Baju PDH'!Print_Area</vt:lpstr>
      <vt:lpstr>'Cetak dan Penggandaan'!Print_Area</vt:lpstr>
      <vt:lpstr>coper!Print_Area</vt:lpstr>
      <vt:lpstr>'Desiminasi Info'!Print_Area</vt:lpstr>
      <vt:lpstr>'E-Gov Aplikasi'!Print_Area</vt:lpstr>
      <vt:lpstr>'E-Gov Infrastruktur'!Print_Area</vt:lpstr>
      <vt:lpstr>'Honor Non PNS'!Print_Area</vt:lpstr>
      <vt:lpstr>'Inslsi Lstrik Ktr'!Print_Area</vt:lpstr>
      <vt:lpstr>'Js Kbr Ktr '!Print_Area</vt:lpstr>
      <vt:lpstr>KIG!Print_Area</vt:lpstr>
      <vt:lpstr>'KOM, SDM&amp;Listrik '!Print_Area</vt:lpstr>
      <vt:lpstr>LampA!Print_Area</vt:lpstr>
      <vt:lpstr>'Mkan Mnum'!Print_Area</vt:lpstr>
      <vt:lpstr>'Pemel Kend Dinas '!Print_Area</vt:lpstr>
      <vt:lpstr>'Pemel PRLTN GDG KTR '!Print_Area</vt:lpstr>
      <vt:lpstr>'Pengadaan Peraltan'!Print_Area</vt:lpstr>
      <vt:lpstr>'PPID&amp;Propaganda'!Print_Area</vt:lpstr>
      <vt:lpstr>'Rapat Luar Daerah'!Print_Area</vt:lpstr>
      <vt:lpstr>'RECAP APBD'!Print_Area</vt:lpstr>
      <vt:lpstr>'RECAP KEGIATAN BL'!Print_Area</vt:lpstr>
      <vt:lpstr>'Rutin BTL'!Print_Area</vt:lpstr>
      <vt:lpstr>Sheet1!Print_Area</vt:lpstr>
      <vt:lpstr>'Smart Pelatihan Pers'!Print_Area</vt:lpstr>
      <vt:lpstr>'Smart Suwarga'!Print_Area</vt:lpstr>
      <vt:lpstr>'Smart UUD40'!Print_Area</vt:lpstr>
      <vt:lpstr>'Smart Warnet'!Print_Area</vt:lpstr>
      <vt:lpstr>'Statistik Forum Data'!Print_Area</vt:lpstr>
      <vt:lpstr>'Statistik Survey Sektoral'!Print_Area</vt:lpstr>
      <vt:lpstr>'Statistik Survey Sektoral2'!Print_Area</vt:lpstr>
      <vt:lpstr>'RECAP KEGIATAN BL'!Print_Titles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SASU</cp:lastModifiedBy>
  <cp:lastPrinted>2020-09-03T04:13:29Z</cp:lastPrinted>
  <dcterms:created xsi:type="dcterms:W3CDTF">2006-02-21T04:54:47Z</dcterms:created>
  <dcterms:modified xsi:type="dcterms:W3CDTF">2020-09-21T02:10:22Z</dcterms:modified>
</cp:coreProperties>
</file>